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9206125008080\Desktop\"/>
    </mc:Choice>
  </mc:AlternateContent>
  <xr:revisionPtr revIDLastSave="0" documentId="10_ncr:100000_{F5A31A47-C30B-43CF-B7EA-D4D3A0ED4D6F}" xr6:coauthVersionLast="31" xr6:coauthVersionMax="31" xr10:uidLastSave="{00000000-0000-0000-0000-000000000000}"/>
  <bookViews>
    <workbookView xWindow="0" yWindow="0" windowWidth="20490" windowHeight="6645" tabRatio="714" xr2:uid="{00000000-000D-0000-FFFF-FFFF00000000}"/>
  </bookViews>
  <sheets>
    <sheet name="RA vs DI" sheetId="1" r:id="rId1"/>
    <sheet name="Annexure A" sheetId="3"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3" l="1"/>
  <c r="E12" i="3"/>
  <c r="S9" i="3"/>
  <c r="R9" i="3"/>
  <c r="Q9" i="3"/>
  <c r="P9" i="3"/>
  <c r="O9" i="3"/>
  <c r="N9" i="3"/>
  <c r="M9" i="3"/>
  <c r="L9" i="3"/>
  <c r="K9" i="3"/>
  <c r="J9" i="3"/>
  <c r="I9" i="3"/>
  <c r="H9" i="3"/>
  <c r="G9" i="3"/>
  <c r="F9" i="3"/>
  <c r="Q25" i="1" l="1"/>
  <c r="P54" i="1"/>
  <c r="P24" i="1"/>
  <c r="R23" i="1" s="1"/>
  <c r="J24" i="1"/>
  <c r="R24" i="1"/>
  <c r="P26" i="1"/>
  <c r="J25" i="1"/>
  <c r="I25" i="1"/>
  <c r="H29" i="1"/>
  <c r="H28" i="1"/>
  <c r="H27" i="1"/>
  <c r="I26" i="1"/>
  <c r="I24" i="1"/>
  <c r="H26" i="1"/>
  <c r="H25" i="1"/>
  <c r="H30" i="1" l="1"/>
  <c r="I27" i="1"/>
  <c r="G26" i="1" l="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25" i="1"/>
  <c r="G24" i="1"/>
  <c r="P25" i="1" l="1"/>
  <c r="M24" i="1"/>
  <c r="L24" i="1"/>
  <c r="L25" i="1" l="1"/>
  <c r="J26" i="1"/>
  <c r="R25" i="1" l="1"/>
  <c r="M25" i="1"/>
  <c r="J27" i="1"/>
  <c r="P27" i="1"/>
  <c r="M26" i="1" l="1"/>
  <c r="L26" i="1"/>
  <c r="R26" i="1"/>
  <c r="P28" i="1"/>
  <c r="I28" i="1"/>
  <c r="J28" i="1" s="1"/>
  <c r="M27" i="1" l="1"/>
  <c r="L27" i="1"/>
  <c r="R27" i="1"/>
  <c r="P29" i="1"/>
  <c r="H31" i="1"/>
  <c r="I29" i="1"/>
  <c r="J29" i="1" s="1"/>
  <c r="R28" i="1" s="1"/>
  <c r="L28" i="1" l="1"/>
  <c r="M28" i="1"/>
  <c r="M29" i="1"/>
  <c r="L29" i="1"/>
  <c r="P30" i="1"/>
  <c r="I30" i="1"/>
  <c r="J30" i="1" s="1"/>
  <c r="P31" i="1" l="1"/>
  <c r="R29" i="1"/>
  <c r="H32" i="1"/>
  <c r="H33" i="1" s="1"/>
  <c r="I31" i="1"/>
  <c r="J31" i="1" s="1"/>
  <c r="R30" i="1" l="1"/>
  <c r="M30" i="1"/>
  <c r="L30" i="1"/>
  <c r="M31" i="1"/>
  <c r="L31" i="1"/>
  <c r="P32" i="1"/>
  <c r="I32" i="1"/>
  <c r="J32" i="1" s="1"/>
  <c r="R31" i="1" l="1"/>
  <c r="M32" i="1" s="1"/>
  <c r="L32" i="1"/>
  <c r="P33" i="1"/>
  <c r="H34" i="1"/>
  <c r="I33" i="1"/>
  <c r="J33" i="1" s="1"/>
  <c r="R32" i="1" l="1"/>
  <c r="P34" i="1"/>
  <c r="H35" i="1"/>
  <c r="I34" i="1"/>
  <c r="J34" i="1" s="1"/>
  <c r="R33" i="1" l="1"/>
  <c r="M34" i="1" s="1"/>
  <c r="M33" i="1"/>
  <c r="L33" i="1"/>
  <c r="P35" i="1"/>
  <c r="H36" i="1"/>
  <c r="I35" i="1"/>
  <c r="J35" i="1" s="1"/>
  <c r="L34" i="1" l="1"/>
  <c r="R34" i="1"/>
  <c r="M35" i="1" s="1"/>
  <c r="H37" i="1"/>
  <c r="P36" i="1"/>
  <c r="I36" i="1"/>
  <c r="J36" i="1" s="1"/>
  <c r="L35" i="1" l="1"/>
  <c r="P37" i="1"/>
  <c r="R35" i="1"/>
  <c r="H38" i="1"/>
  <c r="H39" i="1" s="1"/>
  <c r="I37" i="1"/>
  <c r="J37" i="1" s="1"/>
  <c r="L36" i="1" l="1"/>
  <c r="M36" i="1"/>
  <c r="R36" i="1"/>
  <c r="P38" i="1"/>
  <c r="I38" i="1"/>
  <c r="J38" i="1" s="1"/>
  <c r="L37" i="1" l="1"/>
  <c r="M37" i="1"/>
  <c r="P39" i="1"/>
  <c r="R37" i="1"/>
  <c r="H40" i="1"/>
  <c r="H41" i="1" s="1"/>
  <c r="I39" i="1"/>
  <c r="J39" i="1" s="1"/>
  <c r="R38" i="1" l="1"/>
  <c r="M39" i="1" s="1"/>
  <c r="M38" i="1"/>
  <c r="L38" i="1"/>
  <c r="P40" i="1"/>
  <c r="I40" i="1"/>
  <c r="J40" i="1" s="1"/>
  <c r="R39" i="1" s="1"/>
  <c r="L39" i="1" l="1"/>
  <c r="L40" i="1"/>
  <c r="M40" i="1"/>
  <c r="P41" i="1"/>
  <c r="H42" i="1"/>
  <c r="I41" i="1"/>
  <c r="J41" i="1" s="1"/>
  <c r="R40" i="1" l="1"/>
  <c r="P42" i="1"/>
  <c r="H43" i="1"/>
  <c r="I42" i="1"/>
  <c r="J42" i="1" s="1"/>
  <c r="R41" i="1" l="1"/>
  <c r="M42" i="1" s="1"/>
  <c r="M41" i="1"/>
  <c r="L41" i="1"/>
  <c r="P43" i="1"/>
  <c r="H44" i="1"/>
  <c r="H45" i="1" s="1"/>
  <c r="I43" i="1"/>
  <c r="J43" i="1" s="1"/>
  <c r="R42" i="1" l="1"/>
  <c r="M43" i="1" s="1"/>
  <c r="L42" i="1"/>
  <c r="P44" i="1"/>
  <c r="I44" i="1"/>
  <c r="J44" i="1" s="1"/>
  <c r="L43" i="1" l="1"/>
  <c r="P45" i="1"/>
  <c r="R43" i="1"/>
  <c r="H46" i="1"/>
  <c r="H47" i="1" s="1"/>
  <c r="I45" i="1"/>
  <c r="J45" i="1" s="1"/>
  <c r="L44" i="1" l="1"/>
  <c r="M44" i="1"/>
  <c r="R44" i="1"/>
  <c r="H48" i="1"/>
  <c r="P46" i="1"/>
  <c r="I46" i="1"/>
  <c r="J46" i="1" s="1"/>
  <c r="R45" i="1" l="1"/>
  <c r="M46" i="1" s="1"/>
  <c r="M45" i="1"/>
  <c r="L45" i="1"/>
  <c r="P47" i="1"/>
  <c r="I47" i="1"/>
  <c r="J47" i="1" s="1"/>
  <c r="J54" i="1" s="1"/>
  <c r="L46" i="1" l="1"/>
  <c r="R46" i="1"/>
  <c r="P48" i="1"/>
  <c r="H49" i="1"/>
  <c r="I48" i="1"/>
  <c r="J48" i="1" s="1"/>
  <c r="M47" i="1" l="1"/>
  <c r="L47" i="1"/>
  <c r="H50" i="1"/>
  <c r="R47" i="1"/>
  <c r="P49" i="1"/>
  <c r="I49" i="1"/>
  <c r="J49" i="1" s="1"/>
  <c r="R48" i="1" l="1"/>
  <c r="L49" i="1" s="1"/>
  <c r="L48" i="1"/>
  <c r="M48" i="1"/>
  <c r="P50" i="1"/>
  <c r="H51" i="1"/>
  <c r="I50" i="1"/>
  <c r="J50" i="1" s="1"/>
  <c r="M49" i="1" l="1"/>
  <c r="H52" i="1"/>
  <c r="R49" i="1"/>
  <c r="P51" i="1"/>
  <c r="I51" i="1"/>
  <c r="J51" i="1" s="1"/>
  <c r="M50" i="1" l="1"/>
  <c r="L50" i="1"/>
  <c r="P52" i="1"/>
  <c r="R50" i="1"/>
  <c r="H53" i="1"/>
  <c r="I53" i="1" s="1"/>
  <c r="J53" i="1" s="1"/>
  <c r="I52" i="1"/>
  <c r="J52" i="1" s="1"/>
  <c r="R51" i="1" l="1"/>
  <c r="L52" i="1" s="1"/>
  <c r="M51" i="1"/>
  <c r="L51" i="1"/>
  <c r="P53" i="1"/>
  <c r="M52" i="1" l="1"/>
  <c r="Q53" i="1"/>
  <c r="R52" i="1"/>
  <c r="Q24" i="1" l="1"/>
  <c r="Q26" i="1"/>
  <c r="Q27" i="1"/>
  <c r="Q28" i="1"/>
  <c r="Q29" i="1"/>
  <c r="Q30" i="1"/>
  <c r="Q31" i="1"/>
  <c r="Q32" i="1"/>
  <c r="Q33" i="1"/>
  <c r="Q34" i="1"/>
  <c r="Q35" i="1"/>
  <c r="Q36" i="1"/>
  <c r="Q37" i="1"/>
  <c r="Q38" i="1"/>
  <c r="Q39" i="1"/>
  <c r="Q40" i="1"/>
  <c r="Q41" i="1"/>
  <c r="Q42" i="1"/>
  <c r="Q43" i="1"/>
  <c r="Q44" i="1"/>
  <c r="Q45" i="1"/>
  <c r="Q46" i="1"/>
  <c r="Q47" i="1"/>
  <c r="Q48" i="1"/>
  <c r="Q49" i="1"/>
  <c r="Q50" i="1"/>
  <c r="Q51" i="1"/>
  <c r="Q52" i="1"/>
  <c r="L53" i="1"/>
  <c r="M53" i="1"/>
  <c r="L5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Q24" authorId="0" shapeId="0" xr:uid="{DF2512F2-7468-42E1-B4C0-EC3D42C2499A}">
      <text>
        <r>
          <rPr>
            <b/>
            <sz val="9"/>
            <color indexed="81"/>
            <rFont val="Tahoma"/>
            <family val="2"/>
          </rPr>
          <t>Administrator:</t>
        </r>
        <r>
          <rPr>
            <sz val="9"/>
            <color indexed="81"/>
            <rFont val="Tahoma"/>
            <family val="2"/>
          </rPr>
          <t xml:space="preserve">
Take note of first few years.  First investments (even being the smallest) usually equate to most of your total investment at retirment.</t>
        </r>
      </text>
    </comment>
  </commentList>
</comments>
</file>

<file path=xl/sharedStrings.xml><?xml version="1.0" encoding="utf-8"?>
<sst xmlns="http://schemas.openxmlformats.org/spreadsheetml/2006/main" count="49" uniqueCount="47">
  <si>
    <t>Year</t>
  </si>
  <si>
    <t>Payments</t>
  </si>
  <si>
    <t>Contribution</t>
  </si>
  <si>
    <t>Tax deduction</t>
  </si>
  <si>
    <t>Total cont</t>
  </si>
  <si>
    <t>Switch approach</t>
  </si>
  <si>
    <t>DI</t>
  </si>
  <si>
    <t>RA</t>
  </si>
  <si>
    <t>Future value of RA</t>
  </si>
  <si>
    <t>Direct Investment FV</t>
  </si>
  <si>
    <t>Contributions increase rate</t>
  </si>
  <si>
    <t>Marginal Tax rate (highest bracket currently taxed at)</t>
  </si>
  <si>
    <t>Some things to note:</t>
  </si>
  <si>
    <t xml:space="preserve">This calculation was done on a yearly basis. It should be fine as we are comparing RA vs direct investment.  Seeing as you get your tax benefit yearly instead of provident fund route where you receive it monthly as a tax reduction. </t>
  </si>
  <si>
    <t>Assumed Growth rate RA</t>
  </si>
  <si>
    <t>Assumed Growth rate DI</t>
  </si>
  <si>
    <t>RA = Retirement annuity DI = Direct Investment</t>
  </si>
  <si>
    <t>The goal is not to determine tax effect at retirement or compare what is more beneficial after the 30 year investment horizon, as DI has a more beneficial rate (CGT…) but RA has the favourable tax bracket but afterwards is taxed as normal income tax.  The goal is to determine even before that if DI could beat RA.</t>
  </si>
  <si>
    <t>The basis is that RA investments are limited in what they can invest and should include certain lower risk assets therefore causing a lower return than full equity as in direct investments.</t>
  </si>
  <si>
    <t>This calculation does also not take into account TFSAs or Endowment policies as they would work the same as direct investment but be taxed more favourably at the end of the investment horizon depending on the tax bracket of the investor.</t>
  </si>
  <si>
    <t>Also your marginal tax rate should increase as you get older until you retire.</t>
  </si>
  <si>
    <t>Year 1</t>
  </si>
  <si>
    <t>Year 2</t>
  </si>
  <si>
    <t>Year 3</t>
  </si>
  <si>
    <t>Year 4</t>
  </si>
  <si>
    <t>Year 5</t>
  </si>
  <si>
    <t>Year 6</t>
  </si>
  <si>
    <t>Year 7</t>
  </si>
  <si>
    <t>Year 8</t>
  </si>
  <si>
    <t>Tax benefit of a single R100,000 investment in RA</t>
  </si>
  <si>
    <t>Total benefit</t>
  </si>
  <si>
    <t>Year 9</t>
  </si>
  <si>
    <t>Year 10</t>
  </si>
  <si>
    <t>Year 11</t>
  </si>
  <si>
    <t>Year 12</t>
  </si>
  <si>
    <t>Year 13</t>
  </si>
  <si>
    <t>Year 14</t>
  </si>
  <si>
    <t>Garanteed return before taking into account investment growth</t>
  </si>
  <si>
    <t>Deductions gou get will technically be taxed at retirement when you withdraw but could be used to your advantage if you use the benifical tax rate sliding scale and afterwards manage your yearly income (being at a lower marginal tax rate than you were when you got the deduction).</t>
  </si>
  <si>
    <t>The calculation does take the above tax benefit reinvestment into account.</t>
  </si>
  <si>
    <t>The marginal tax rate used in this calculation also assume that all tax benefits (tax deductions) will be at that rate.  In real life it you get deductions at your marginal tax rate until you move into a lower bracket at which the benefit will then be at the new bracket's rate.</t>
  </si>
  <si>
    <t>The logic behind this calculation is that RA is a shorter term. With RA you get an immediate high return  due to tax benefit but lose over the long term due to lower growth rate.  Also note that if you are at a marginal rate of 36% does not mean you get an immediate return of 36%, you actually get 56% guaranteed return as you reinvest the 36% return over and over again until the benefit fades.  Refer to annexure A.</t>
  </si>
  <si>
    <t>A more beneficial route which is not taken into account in this calculation is also that when you reach the "switch point", you can start transferring your direct investment to your retirement annuity.  This should be the most benefical rout of all based on foundings…</t>
  </si>
  <si>
    <t>Otherwise life is unpredictable and this calculation is probably over thinking investments (the goal is just to invest at least).  If markets were to crash just before the end of the investment horizon then being in safer investments like the RA would benefit you.  This is just to calculate in an "all else being  equal environment" what would be more beneficial and possibly if there is a combination ("switch over point").  Investments are never a one size fits all.  One example a person that has the tendency to later on withdraw investments should rather go RA route.</t>
  </si>
  <si>
    <t>DI vs RA difference</t>
  </si>
  <si>
    <t>Every year's investment was taken and then the future value (value at the end of the 30 years investment horizon) was calculated.  Then all the investements future values were added to compare.</t>
  </si>
  <si>
    <t>30 years were used at random.  Might be an average retirement savings period for most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</si>
</sst>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4" formatCode="0.0%"/>
    <numFmt numFmtId="165" formatCode="[$R-1C09]#,##0.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
    <xf numFmtId="0" fontId="0" fillId="0" borderId="0" xfId="0"/>
    <xf numFmtId="0" fontId="2" fillId="0" borderId="0" xfId="0" applyFont="1"/>
    <xf numFmtId="9" fontId="0" fillId="0" borderId="0" xfId="2" applyFont="1"/>
    <xf numFmtId="43" fontId="0" fillId="0" borderId="0" xfId="0" applyNumberFormat="1"/>
    <xf numFmtId="8" fontId="0" fillId="0" borderId="0" xfId="0" applyNumberFormat="1"/>
    <xf numFmtId="0" fontId="0" fillId="0" borderId="0" xfId="0" applyAlignment="1">
      <alignment wrapText="1"/>
    </xf>
    <xf numFmtId="164" fontId="0" fillId="0" borderId="0" xfId="2" applyNumberFormat="1" applyFont="1" applyAlignment="1">
      <alignment horizontal="left"/>
    </xf>
    <xf numFmtId="9" fontId="0" fillId="2" borderId="0" xfId="2" applyFont="1" applyFill="1"/>
    <xf numFmtId="43" fontId="0" fillId="2" borderId="0" xfId="1" applyFont="1" applyFill="1"/>
    <xf numFmtId="165" fontId="0" fillId="0" borderId="0" xfId="0" applyNumberFormat="1"/>
    <xf numFmtId="165" fontId="0" fillId="0" borderId="1" xfId="0" applyNumberFormat="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W59"/>
  <sheetViews>
    <sheetView tabSelected="1" zoomScaleNormal="100" workbookViewId="0">
      <selection activeCell="G13" sqref="G13"/>
    </sheetView>
  </sheetViews>
  <sheetFormatPr defaultRowHeight="15" x14ac:dyDescent="0.25"/>
  <cols>
    <col min="7" max="7" width="26.28515625" customWidth="1"/>
    <col min="8" max="8" width="13.28515625" customWidth="1"/>
    <col min="9" max="9" width="14" bestFit="1" customWidth="1"/>
    <col min="10" max="10" width="30.28515625" customWidth="1"/>
    <col min="11" max="11" width="14.5703125" bestFit="1" customWidth="1"/>
    <col min="12" max="12" width="15.5703125" bestFit="1" customWidth="1"/>
    <col min="13" max="14" width="14.5703125" customWidth="1"/>
    <col min="16" max="16" width="19.85546875" bestFit="1" customWidth="1"/>
    <col min="17" max="17" width="15.5703125" bestFit="1" customWidth="1"/>
    <col min="18" max="18" width="13.7109375" bestFit="1" customWidth="1"/>
    <col min="20" max="20" width="17" bestFit="1" customWidth="1"/>
    <col min="21" max="22" width="14.5703125" bestFit="1" customWidth="1"/>
    <col min="23" max="23" width="14.28515625" bestFit="1" customWidth="1"/>
    <col min="24" max="24" width="12.28515625" bestFit="1" customWidth="1"/>
  </cols>
  <sheetData>
    <row r="1" spans="3:3" x14ac:dyDescent="0.25">
      <c r="C1" t="s">
        <v>12</v>
      </c>
    </row>
    <row r="2" spans="3:3" x14ac:dyDescent="0.25">
      <c r="C2" t="s">
        <v>45</v>
      </c>
    </row>
    <row r="3" spans="3:3" x14ac:dyDescent="0.25">
      <c r="C3" t="s">
        <v>46</v>
      </c>
    </row>
    <row r="4" spans="3:3" x14ac:dyDescent="0.25">
      <c r="C4" t="s">
        <v>13</v>
      </c>
    </row>
    <row r="5" spans="3:3" x14ac:dyDescent="0.25">
      <c r="C5" t="s">
        <v>16</v>
      </c>
    </row>
    <row r="6" spans="3:3" x14ac:dyDescent="0.25">
      <c r="C6" t="s">
        <v>17</v>
      </c>
    </row>
    <row r="7" spans="3:3" x14ac:dyDescent="0.25">
      <c r="C7" t="s">
        <v>18</v>
      </c>
    </row>
    <row r="8" spans="3:3" x14ac:dyDescent="0.25">
      <c r="C8" t="s">
        <v>19</v>
      </c>
    </row>
    <row r="9" spans="3:3" x14ac:dyDescent="0.25">
      <c r="C9" t="s">
        <v>40</v>
      </c>
    </row>
    <row r="10" spans="3:3" x14ac:dyDescent="0.25">
      <c r="C10" t="s">
        <v>20</v>
      </c>
    </row>
    <row r="11" spans="3:3" x14ac:dyDescent="0.25">
      <c r="C11" t="s">
        <v>42</v>
      </c>
    </row>
    <row r="12" spans="3:3" x14ac:dyDescent="0.25">
      <c r="C12" t="s">
        <v>41</v>
      </c>
    </row>
    <row r="13" spans="3:3" x14ac:dyDescent="0.25">
      <c r="C13" t="s">
        <v>39</v>
      </c>
    </row>
    <row r="14" spans="3:3" x14ac:dyDescent="0.25">
      <c r="C14" t="s">
        <v>43</v>
      </c>
    </row>
    <row r="18" spans="5:23" x14ac:dyDescent="0.25">
      <c r="G18" t="s">
        <v>1</v>
      </c>
      <c r="I18" s="8">
        <v>100000</v>
      </c>
    </row>
    <row r="19" spans="5:23" ht="30" x14ac:dyDescent="0.25">
      <c r="G19" s="5" t="s">
        <v>11</v>
      </c>
      <c r="I19" s="7">
        <v>0.36</v>
      </c>
    </row>
    <row r="20" spans="5:23" x14ac:dyDescent="0.25">
      <c r="G20" t="s">
        <v>14</v>
      </c>
      <c r="I20" s="7">
        <v>0.14000000000000001</v>
      </c>
    </row>
    <row r="21" spans="5:23" x14ac:dyDescent="0.25">
      <c r="G21" t="s">
        <v>15</v>
      </c>
      <c r="I21" s="7">
        <v>0.17</v>
      </c>
      <c r="S21" s="2"/>
    </row>
    <row r="22" spans="5:23" x14ac:dyDescent="0.25">
      <c r="G22" t="s">
        <v>10</v>
      </c>
      <c r="I22" s="7">
        <v>0.1</v>
      </c>
      <c r="J22" s="1"/>
      <c r="L22" s="1" t="s">
        <v>5</v>
      </c>
      <c r="P22" s="1" t="s">
        <v>9</v>
      </c>
      <c r="Q22" s="1"/>
      <c r="R22" s="1" t="s">
        <v>44</v>
      </c>
    </row>
    <row r="23" spans="5:23" x14ac:dyDescent="0.25">
      <c r="E23" s="1" t="s">
        <v>0</v>
      </c>
      <c r="G23" s="1" t="s">
        <v>2</v>
      </c>
      <c r="H23" s="1" t="s">
        <v>3</v>
      </c>
      <c r="I23" s="1" t="s">
        <v>4</v>
      </c>
      <c r="J23" s="1" t="s">
        <v>8</v>
      </c>
      <c r="K23" s="1"/>
      <c r="L23" s="1" t="s">
        <v>7</v>
      </c>
      <c r="M23" s="1" t="s">
        <v>6</v>
      </c>
      <c r="N23" s="1"/>
      <c r="R23" s="9">
        <f t="shared" ref="R23:R52" si="0">J24-P24</f>
        <v>-6011449.1427027872</v>
      </c>
      <c r="U23" s="1"/>
    </row>
    <row r="24" spans="5:23" x14ac:dyDescent="0.25">
      <c r="E24" s="1">
        <v>1</v>
      </c>
      <c r="G24" s="3">
        <f>-I18</f>
        <v>-100000</v>
      </c>
      <c r="I24" s="3">
        <f>SUM(G24:H24)</f>
        <v>-100000</v>
      </c>
      <c r="J24" s="9">
        <f t="shared" ref="J24:J48" si="1">FV($I$20,(31-E24),0,I24,1)</f>
        <v>5095015.8583313646</v>
      </c>
      <c r="K24" s="4"/>
      <c r="L24" s="9">
        <f t="shared" ref="L24:L53" si="2">IF(R23&gt;0,J24,0)</f>
        <v>0</v>
      </c>
      <c r="M24" s="9">
        <f t="shared" ref="M24:M53" si="3">IF(R23&lt;0,P24,0)</f>
        <v>11106465.001034152</v>
      </c>
      <c r="N24" s="4"/>
      <c r="P24" s="9">
        <f t="shared" ref="P24:P53" si="4">FV($I$21,(31-E24),0,G24,1)</f>
        <v>11106465.001034152</v>
      </c>
      <c r="Q24" s="6">
        <f t="shared" ref="Q24:Q53" si="5">P24/$P$54</f>
        <v>7.0980889872919492E-2</v>
      </c>
      <c r="R24" s="9">
        <f t="shared" si="0"/>
        <v>-3916779.8936086316</v>
      </c>
      <c r="W24" s="4"/>
    </row>
    <row r="25" spans="5:23" x14ac:dyDescent="0.25">
      <c r="E25" s="1">
        <v>2</v>
      </c>
      <c r="G25" s="3">
        <f>G24*(1+$I$22)</f>
        <v>-110000.00000000001</v>
      </c>
      <c r="H25" s="3">
        <f>G24*$I$19</f>
        <v>-36000</v>
      </c>
      <c r="I25" s="3">
        <f>SUM(G25:H25)</f>
        <v>-146000</v>
      </c>
      <c r="J25" s="9">
        <f t="shared" si="1"/>
        <v>6525195.7483892906</v>
      </c>
      <c r="K25" s="4"/>
      <c r="L25" s="9">
        <f t="shared" si="2"/>
        <v>0</v>
      </c>
      <c r="M25" s="9">
        <f t="shared" si="3"/>
        <v>10441975.641997922</v>
      </c>
      <c r="N25" s="4"/>
      <c r="P25" s="9">
        <f t="shared" si="4"/>
        <v>10441975.641997922</v>
      </c>
      <c r="Q25" s="6">
        <f t="shared" si="5"/>
        <v>6.6734169965992698E-2</v>
      </c>
      <c r="R25" s="9">
        <f t="shared" si="0"/>
        <v>-3012910.3208760144</v>
      </c>
      <c r="W25" s="4"/>
    </row>
    <row r="26" spans="5:23" x14ac:dyDescent="0.25">
      <c r="E26" s="1">
        <v>3</v>
      </c>
      <c r="G26" s="3">
        <f t="shared" ref="G26:G53" si="6">G25*(1+$I$22)</f>
        <v>-121000.00000000003</v>
      </c>
      <c r="H26" s="3">
        <f t="shared" ref="H26:H53" si="7">SUM(G25:H25)*$I$19</f>
        <v>-52560</v>
      </c>
      <c r="I26" s="3">
        <f>SUM(G26:H26)</f>
        <v>-173560.00000000003</v>
      </c>
      <c r="J26" s="9">
        <f t="shared" si="1"/>
        <v>6804331.735703229</v>
      </c>
      <c r="K26" s="4"/>
      <c r="L26" s="9">
        <f t="shared" si="2"/>
        <v>0</v>
      </c>
      <c r="M26" s="9">
        <f t="shared" si="3"/>
        <v>9817242.0565792434</v>
      </c>
      <c r="N26" s="4"/>
      <c r="P26" s="9">
        <f t="shared" si="4"/>
        <v>9817242.0565792434</v>
      </c>
      <c r="Q26" s="6">
        <f t="shared" si="5"/>
        <v>6.2741527318454671E-2</v>
      </c>
      <c r="R26" s="9">
        <f t="shared" si="0"/>
        <v>-2503852.8960185926</v>
      </c>
      <c r="W26" s="4"/>
    </row>
    <row r="27" spans="5:23" x14ac:dyDescent="0.25">
      <c r="E27" s="1">
        <v>4</v>
      </c>
      <c r="G27" s="3">
        <f t="shared" si="6"/>
        <v>-133100.00000000003</v>
      </c>
      <c r="H27" s="3">
        <f t="shared" si="7"/>
        <v>-62481.600000000006</v>
      </c>
      <c r="I27" s="3">
        <f>SUM(G27:H27)</f>
        <v>-195581.60000000003</v>
      </c>
      <c r="J27" s="9">
        <f t="shared" si="1"/>
        <v>6726032.7982012108</v>
      </c>
      <c r="K27" s="4"/>
      <c r="L27" s="9">
        <f t="shared" si="2"/>
        <v>0</v>
      </c>
      <c r="M27" s="9">
        <f t="shared" si="3"/>
        <v>9229885.6942198034</v>
      </c>
      <c r="N27" s="4"/>
      <c r="P27" s="9">
        <f t="shared" si="4"/>
        <v>9229885.6942198034</v>
      </c>
      <c r="Q27" s="6">
        <f t="shared" si="5"/>
        <v>5.898776072675227E-2</v>
      </c>
      <c r="R27" s="9">
        <f t="shared" si="0"/>
        <v>-2136970.3862222927</v>
      </c>
      <c r="W27" s="4"/>
    </row>
    <row r="28" spans="5:23" x14ac:dyDescent="0.25">
      <c r="E28" s="1">
        <v>5</v>
      </c>
      <c r="G28" s="3">
        <f t="shared" si="6"/>
        <v>-146410.00000000006</v>
      </c>
      <c r="H28" s="3">
        <f t="shared" si="7"/>
        <v>-70409.376000000004</v>
      </c>
      <c r="I28" s="3">
        <f t="shared" ref="I28:I43" si="8">SUM(G28:H28)</f>
        <v>-216819.37600000005</v>
      </c>
      <c r="J28" s="9">
        <f t="shared" si="1"/>
        <v>6540699.9245826537</v>
      </c>
      <c r="K28" s="4"/>
      <c r="L28" s="9">
        <f t="shared" si="2"/>
        <v>0</v>
      </c>
      <c r="M28" s="9">
        <f t="shared" si="3"/>
        <v>8677670.3108049463</v>
      </c>
      <c r="N28" s="4"/>
      <c r="P28" s="9">
        <f t="shared" si="4"/>
        <v>8677670.3108049463</v>
      </c>
      <c r="Q28" s="6">
        <f t="shared" si="5"/>
        <v>5.5458578461049166E-2</v>
      </c>
      <c r="R28" s="9">
        <f t="shared" si="0"/>
        <v>-1831291.2644000407</v>
      </c>
      <c r="W28" s="4"/>
    </row>
    <row r="29" spans="5:23" x14ac:dyDescent="0.25">
      <c r="E29" s="1">
        <v>6</v>
      </c>
      <c r="G29" s="3">
        <f t="shared" si="6"/>
        <v>-161051.00000000009</v>
      </c>
      <c r="H29" s="3">
        <f t="shared" si="7"/>
        <v>-78054.975360000011</v>
      </c>
      <c r="I29" s="3">
        <f t="shared" si="8"/>
        <v>-239105.9753600001</v>
      </c>
      <c r="J29" s="9">
        <f t="shared" si="1"/>
        <v>6327202.1902029002</v>
      </c>
      <c r="K29" s="4"/>
      <c r="L29" s="9">
        <f t="shared" si="2"/>
        <v>0</v>
      </c>
      <c r="M29" s="9">
        <f t="shared" si="3"/>
        <v>8158493.4546029409</v>
      </c>
      <c r="N29" s="4"/>
      <c r="P29" s="9">
        <f t="shared" si="4"/>
        <v>8158493.4546029409</v>
      </c>
      <c r="Q29" s="6">
        <f t="shared" si="5"/>
        <v>5.2140543852268441E-2</v>
      </c>
      <c r="R29" s="9">
        <f t="shared" si="0"/>
        <v>-1560130.5735969897</v>
      </c>
      <c r="W29" s="4"/>
    </row>
    <row r="30" spans="5:23" x14ac:dyDescent="0.25">
      <c r="E30" s="1">
        <v>7</v>
      </c>
      <c r="G30" s="3">
        <f t="shared" si="6"/>
        <v>-177156.10000000012</v>
      </c>
      <c r="H30" s="3">
        <f t="shared" si="7"/>
        <v>-86078.151129600039</v>
      </c>
      <c r="I30" s="3">
        <f t="shared" si="8"/>
        <v>-263234.25112960016</v>
      </c>
      <c r="J30" s="9">
        <f t="shared" si="1"/>
        <v>6110247.8879955206</v>
      </c>
      <c r="K30" s="4"/>
      <c r="L30" s="9">
        <f t="shared" si="2"/>
        <v>0</v>
      </c>
      <c r="M30" s="9">
        <f t="shared" si="3"/>
        <v>7670378.4615925103</v>
      </c>
      <c r="N30" s="4"/>
      <c r="P30" s="9">
        <f t="shared" si="4"/>
        <v>7670378.4615925103</v>
      </c>
      <c r="Q30" s="6">
        <f t="shared" si="5"/>
        <v>4.9021024134611367E-2</v>
      </c>
      <c r="R30" s="9">
        <f t="shared" si="0"/>
        <v>-1314018.0858585685</v>
      </c>
      <c r="W30" s="4"/>
    </row>
    <row r="31" spans="5:23" x14ac:dyDescent="0.25">
      <c r="E31" s="1">
        <v>8</v>
      </c>
      <c r="G31" s="3">
        <f t="shared" si="6"/>
        <v>-194871.71000000014</v>
      </c>
      <c r="H31" s="3">
        <f t="shared" si="7"/>
        <v>-94764.330406656052</v>
      </c>
      <c r="I31" s="3">
        <f t="shared" si="8"/>
        <v>-289636.04040665622</v>
      </c>
      <c r="J31" s="9">
        <f t="shared" si="1"/>
        <v>5897448.8438437935</v>
      </c>
      <c r="K31" s="4"/>
      <c r="L31" s="9">
        <f t="shared" si="2"/>
        <v>0</v>
      </c>
      <c r="M31" s="9">
        <f t="shared" si="3"/>
        <v>7211466.929702362</v>
      </c>
      <c r="N31" s="4"/>
      <c r="P31" s="9">
        <f t="shared" si="4"/>
        <v>7211466.929702362</v>
      </c>
      <c r="Q31" s="6">
        <f t="shared" si="5"/>
        <v>4.6088142348779934E-2</v>
      </c>
      <c r="R31" s="9">
        <f t="shared" si="0"/>
        <v>-1088986.9495215314</v>
      </c>
      <c r="W31" s="4"/>
    </row>
    <row r="32" spans="5:23" x14ac:dyDescent="0.25">
      <c r="E32" s="1">
        <v>9</v>
      </c>
      <c r="G32" s="3">
        <f t="shared" si="6"/>
        <v>-214358.88100000017</v>
      </c>
      <c r="H32" s="3">
        <f t="shared" si="7"/>
        <v>-104268.97454639623</v>
      </c>
      <c r="I32" s="3">
        <f t="shared" si="8"/>
        <v>-318627.8555463964</v>
      </c>
      <c r="J32" s="9">
        <f t="shared" si="1"/>
        <v>5691024.6937883832</v>
      </c>
      <c r="K32" s="4"/>
      <c r="L32" s="9">
        <f t="shared" si="2"/>
        <v>0</v>
      </c>
      <c r="M32" s="9">
        <f t="shared" si="3"/>
        <v>6780011.6433099145</v>
      </c>
      <c r="N32" s="4"/>
      <c r="P32" s="9">
        <f t="shared" si="4"/>
        <v>6780011.6433099145</v>
      </c>
      <c r="Q32" s="6">
        <f t="shared" si="5"/>
        <v>4.3330732122784557E-2</v>
      </c>
      <c r="R32" s="9">
        <f t="shared" si="0"/>
        <v>-882871.1843883628</v>
      </c>
      <c r="W32" s="4"/>
    </row>
    <row r="33" spans="5:23" x14ac:dyDescent="0.25">
      <c r="E33" s="1">
        <v>10</v>
      </c>
      <c r="G33" s="3">
        <f t="shared" si="6"/>
        <v>-235794.76910000021</v>
      </c>
      <c r="H33" s="3">
        <f t="shared" si="7"/>
        <v>-114706.0279967027</v>
      </c>
      <c r="I33" s="3">
        <f t="shared" si="8"/>
        <v>-350500.79709670291</v>
      </c>
      <c r="J33" s="9">
        <f t="shared" si="1"/>
        <v>5491498.7366722403</v>
      </c>
      <c r="K33" s="4"/>
      <c r="L33" s="9">
        <f t="shared" si="2"/>
        <v>0</v>
      </c>
      <c r="M33" s="9">
        <f t="shared" si="3"/>
        <v>6374369.9210606031</v>
      </c>
      <c r="N33" s="4"/>
      <c r="P33" s="9">
        <f t="shared" si="4"/>
        <v>6374369.9210606031</v>
      </c>
      <c r="Q33" s="6">
        <f t="shared" si="5"/>
        <v>4.0738295158173517E-2</v>
      </c>
      <c r="R33" s="9">
        <f t="shared" si="0"/>
        <v>-694132.54283120576</v>
      </c>
      <c r="W33" s="4"/>
    </row>
    <row r="34" spans="5:23" x14ac:dyDescent="0.25">
      <c r="E34" s="1">
        <v>11</v>
      </c>
      <c r="G34" s="3">
        <f t="shared" si="6"/>
        <v>-259374.24601000026</v>
      </c>
      <c r="H34" s="3">
        <f t="shared" si="7"/>
        <v>-126180.28695481304</v>
      </c>
      <c r="I34" s="3">
        <f t="shared" si="8"/>
        <v>-385554.53296481329</v>
      </c>
      <c r="J34" s="9">
        <f t="shared" si="1"/>
        <v>5298864.8188497052</v>
      </c>
      <c r="K34" s="4"/>
      <c r="L34" s="9">
        <f t="shared" si="2"/>
        <v>0</v>
      </c>
      <c r="M34" s="9">
        <f t="shared" si="3"/>
        <v>5992997.3616809109</v>
      </c>
      <c r="N34" s="4"/>
      <c r="P34" s="9">
        <f t="shared" si="4"/>
        <v>5992997.3616809109</v>
      </c>
      <c r="Q34" s="6">
        <f t="shared" si="5"/>
        <v>3.830096125982127E-2</v>
      </c>
      <c r="R34" s="9">
        <f t="shared" si="0"/>
        <v>-521486.35857858509</v>
      </c>
      <c r="W34" s="4"/>
    </row>
    <row r="35" spans="5:23" x14ac:dyDescent="0.25">
      <c r="E35" s="1">
        <v>12</v>
      </c>
      <c r="G35" s="3">
        <f t="shared" si="6"/>
        <v>-285311.67061100033</v>
      </c>
      <c r="H35" s="3">
        <f t="shared" si="7"/>
        <v>-138799.63186733279</v>
      </c>
      <c r="I35" s="3">
        <f t="shared" si="8"/>
        <v>-424111.30247833312</v>
      </c>
      <c r="J35" s="9">
        <f t="shared" si="1"/>
        <v>5112955.6053949231</v>
      </c>
      <c r="K35" s="4"/>
      <c r="L35" s="9">
        <f t="shared" si="2"/>
        <v>0</v>
      </c>
      <c r="M35" s="9">
        <f t="shared" si="3"/>
        <v>5634441.9639735082</v>
      </c>
      <c r="N35" s="4"/>
      <c r="P35" s="9">
        <f t="shared" si="4"/>
        <v>5634441.9639735082</v>
      </c>
      <c r="Q35" s="6">
        <f t="shared" si="5"/>
        <v>3.6009450757096932E-2</v>
      </c>
      <c r="R35" s="9">
        <f t="shared" si="0"/>
        <v>-363779.93336070701</v>
      </c>
      <c r="W35" s="4"/>
    </row>
    <row r="36" spans="5:23" x14ac:dyDescent="0.25">
      <c r="E36" s="1">
        <v>13</v>
      </c>
      <c r="G36" s="3">
        <f t="shared" si="6"/>
        <v>-313842.8376721004</v>
      </c>
      <c r="H36" s="3">
        <f t="shared" si="7"/>
        <v>-152680.06889219992</v>
      </c>
      <c r="I36" s="3">
        <f t="shared" si="8"/>
        <v>-466522.9065643003</v>
      </c>
      <c r="J36" s="9">
        <f t="shared" si="1"/>
        <v>4933558.6652468657</v>
      </c>
      <c r="K36" s="4"/>
      <c r="L36" s="9">
        <f t="shared" si="2"/>
        <v>0</v>
      </c>
      <c r="M36" s="9">
        <f t="shared" si="3"/>
        <v>5297338.5986075727</v>
      </c>
      <c r="N36" s="4"/>
      <c r="P36" s="9">
        <f t="shared" si="4"/>
        <v>5297338.5986075727</v>
      </c>
      <c r="Q36" s="6">
        <f t="shared" si="5"/>
        <v>3.3855039173338999E-2</v>
      </c>
      <c r="R36" s="9">
        <f t="shared" si="0"/>
        <v>-219950.8846021425</v>
      </c>
      <c r="W36" s="4"/>
    </row>
    <row r="37" spans="5:23" x14ac:dyDescent="0.25">
      <c r="E37" s="1">
        <v>14</v>
      </c>
      <c r="G37" s="3">
        <f t="shared" si="6"/>
        <v>-345227.12143931049</v>
      </c>
      <c r="H37" s="3">
        <f t="shared" si="7"/>
        <v>-167948.24636314809</v>
      </c>
      <c r="I37" s="3">
        <f t="shared" si="8"/>
        <v>-513175.36780245858</v>
      </c>
      <c r="J37" s="9">
        <f t="shared" si="1"/>
        <v>4760452.9260545503</v>
      </c>
      <c r="K37" s="4"/>
      <c r="L37" s="9">
        <f t="shared" si="2"/>
        <v>0</v>
      </c>
      <c r="M37" s="9">
        <f t="shared" si="3"/>
        <v>4980403.8106566928</v>
      </c>
      <c r="N37" s="4"/>
      <c r="P37" s="9">
        <f t="shared" si="4"/>
        <v>4980403.8106566928</v>
      </c>
      <c r="Q37" s="6">
        <f t="shared" si="5"/>
        <v>3.1829524009122138E-2</v>
      </c>
      <c r="R37" s="9">
        <f t="shared" si="0"/>
        <v>-89010.94333962258</v>
      </c>
      <c r="W37" s="4"/>
    </row>
    <row r="38" spans="5:23" x14ac:dyDescent="0.25">
      <c r="E38" s="1">
        <v>15</v>
      </c>
      <c r="G38" s="3">
        <f t="shared" si="6"/>
        <v>-379749.83358324156</v>
      </c>
      <c r="H38" s="3">
        <f t="shared" si="7"/>
        <v>-184743.13240888508</v>
      </c>
      <c r="I38" s="3">
        <f t="shared" si="8"/>
        <v>-564492.96599212661</v>
      </c>
      <c r="J38" s="9">
        <f t="shared" si="1"/>
        <v>4593419.9897564137</v>
      </c>
      <c r="K38" s="4"/>
      <c r="L38" s="9">
        <f t="shared" si="2"/>
        <v>0</v>
      </c>
      <c r="M38" s="9">
        <f t="shared" si="3"/>
        <v>4682430.9330960363</v>
      </c>
      <c r="N38" s="4"/>
      <c r="P38" s="9">
        <f t="shared" si="4"/>
        <v>4682430.9330960363</v>
      </c>
      <c r="Q38" s="6">
        <f t="shared" si="5"/>
        <v>2.992519351284988E-2</v>
      </c>
      <c r="R38" s="9">
        <f t="shared" si="0"/>
        <v>29962.023683688603</v>
      </c>
      <c r="W38" s="4"/>
    </row>
    <row r="39" spans="5:23" x14ac:dyDescent="0.25">
      <c r="E39" s="1">
        <v>16</v>
      </c>
      <c r="G39" s="3">
        <f t="shared" si="6"/>
        <v>-417724.81694156578</v>
      </c>
      <c r="H39" s="3">
        <f t="shared" si="7"/>
        <v>-203217.46775716558</v>
      </c>
      <c r="I39" s="3">
        <f t="shared" si="8"/>
        <v>-620942.28469873138</v>
      </c>
      <c r="J39" s="9">
        <f t="shared" si="1"/>
        <v>4432247.516338083</v>
      </c>
      <c r="K39" s="4"/>
      <c r="L39" s="9">
        <f t="shared" si="2"/>
        <v>4432247.516338083</v>
      </c>
      <c r="M39" s="9">
        <f t="shared" si="3"/>
        <v>0</v>
      </c>
      <c r="N39" s="4"/>
      <c r="P39" s="9">
        <f t="shared" si="4"/>
        <v>4402285.4926543944</v>
      </c>
      <c r="Q39" s="6">
        <f t="shared" si="5"/>
        <v>2.8134797319773398E-2</v>
      </c>
      <c r="R39" s="9">
        <f t="shared" si="0"/>
        <v>137829.21892664768</v>
      </c>
      <c r="W39" s="4"/>
    </row>
    <row r="40" spans="5:23" x14ac:dyDescent="0.25">
      <c r="E40" s="1">
        <v>17</v>
      </c>
      <c r="G40" s="3">
        <f t="shared" si="6"/>
        <v>-459497.29863572237</v>
      </c>
      <c r="H40" s="3">
        <f t="shared" si="7"/>
        <v>-223539.2224915433</v>
      </c>
      <c r="I40" s="3">
        <f t="shared" si="8"/>
        <v>-683036.52112726565</v>
      </c>
      <c r="J40" s="9">
        <f t="shared" si="1"/>
        <v>4276730.1094564209</v>
      </c>
      <c r="K40" s="4"/>
      <c r="L40" s="9">
        <f t="shared" si="2"/>
        <v>4276730.1094564209</v>
      </c>
      <c r="M40" s="9">
        <f t="shared" si="3"/>
        <v>0</v>
      </c>
      <c r="N40" s="4"/>
      <c r="P40" s="9">
        <f t="shared" si="4"/>
        <v>4138900.8905297732</v>
      </c>
      <c r="Q40" s="6">
        <f t="shared" si="5"/>
        <v>2.6451518847650207E-2</v>
      </c>
      <c r="R40" s="9">
        <f t="shared" si="0"/>
        <v>235395.07807414746</v>
      </c>
      <c r="W40" s="4"/>
    </row>
    <row r="41" spans="5:23" x14ac:dyDescent="0.25">
      <c r="E41" s="1">
        <v>18</v>
      </c>
      <c r="G41" s="3">
        <f t="shared" si="6"/>
        <v>-505447.02849929465</v>
      </c>
      <c r="H41" s="3">
        <f t="shared" si="7"/>
        <v>-245893.14760581561</v>
      </c>
      <c r="I41" s="3">
        <f t="shared" si="8"/>
        <v>-751340.17610511021</v>
      </c>
      <c r="J41" s="9">
        <f t="shared" si="1"/>
        <v>4126669.419597866</v>
      </c>
      <c r="K41" s="4"/>
      <c r="L41" s="9">
        <f t="shared" si="2"/>
        <v>4126669.419597866</v>
      </c>
      <c r="M41" s="9">
        <f t="shared" si="3"/>
        <v>0</v>
      </c>
      <c r="N41" s="4"/>
      <c r="P41" s="9">
        <f t="shared" si="4"/>
        <v>3891274.3415237186</v>
      </c>
      <c r="Q41" s="6">
        <f t="shared" si="5"/>
        <v>2.4868949343944641E-2</v>
      </c>
      <c r="R41" s="9">
        <f t="shared" si="0"/>
        <v>323410.95020234305</v>
      </c>
      <c r="W41" s="4"/>
    </row>
    <row r="42" spans="5:23" x14ac:dyDescent="0.25">
      <c r="E42" s="1">
        <v>19</v>
      </c>
      <c r="G42" s="3">
        <f t="shared" si="6"/>
        <v>-555991.73134922411</v>
      </c>
      <c r="H42" s="3">
        <f t="shared" si="7"/>
        <v>-270482.46339783969</v>
      </c>
      <c r="I42" s="3">
        <f t="shared" si="8"/>
        <v>-826474.1947470638</v>
      </c>
      <c r="J42" s="9">
        <f t="shared" si="1"/>
        <v>3981874.0063357539</v>
      </c>
      <c r="K42" s="4"/>
      <c r="L42" s="9">
        <f t="shared" si="2"/>
        <v>3981874.0063357539</v>
      </c>
      <c r="M42" s="9">
        <f t="shared" si="3"/>
        <v>0</v>
      </c>
      <c r="N42" s="4"/>
      <c r="P42" s="9">
        <f t="shared" si="4"/>
        <v>3658463.0561334109</v>
      </c>
      <c r="Q42" s="6">
        <f t="shared" si="5"/>
        <v>2.3381063485759922E-2</v>
      </c>
      <c r="R42" s="9">
        <f t="shared" si="0"/>
        <v>402578.47942414461</v>
      </c>
      <c r="W42" s="4"/>
    </row>
    <row r="43" spans="5:23" x14ac:dyDescent="0.25">
      <c r="E43" s="1">
        <v>20</v>
      </c>
      <c r="G43" s="3">
        <f t="shared" si="6"/>
        <v>-611590.90448414662</v>
      </c>
      <c r="H43" s="3">
        <f t="shared" si="7"/>
        <v>-297530.71010894293</v>
      </c>
      <c r="I43" s="3">
        <f t="shared" si="8"/>
        <v>-909121.61459308956</v>
      </c>
      <c r="J43" s="9">
        <f t="shared" si="1"/>
        <v>3842159.1304897456</v>
      </c>
      <c r="K43" s="4"/>
      <c r="L43" s="9">
        <f t="shared" si="2"/>
        <v>3842159.1304897456</v>
      </c>
      <c r="M43" s="9">
        <f t="shared" si="3"/>
        <v>0</v>
      </c>
      <c r="N43" s="4"/>
      <c r="P43" s="9">
        <f t="shared" si="4"/>
        <v>3439580.651065601</v>
      </c>
      <c r="Q43" s="6">
        <f t="shared" si="5"/>
        <v>2.1982196439603353E-2</v>
      </c>
      <c r="R43" s="9">
        <f t="shared" si="0"/>
        <v>473552.75540937157</v>
      </c>
      <c r="W43" s="4"/>
    </row>
    <row r="44" spans="5:23" x14ac:dyDescent="0.25">
      <c r="E44" s="1">
        <v>21</v>
      </c>
      <c r="G44" s="3">
        <f t="shared" si="6"/>
        <v>-672749.9949325613</v>
      </c>
      <c r="H44" s="3">
        <f t="shared" si="7"/>
        <v>-327283.78125351225</v>
      </c>
      <c r="I44" s="3">
        <f t="shared" ref="I44:I53" si="9">SUM(G44:H44)</f>
        <v>-1000033.7761860735</v>
      </c>
      <c r="J44" s="9">
        <f t="shared" si="1"/>
        <v>3707346.5299154925</v>
      </c>
      <c r="K44" s="4"/>
      <c r="L44" s="9">
        <f t="shared" si="2"/>
        <v>3707346.5299154925</v>
      </c>
      <c r="M44" s="9">
        <f t="shared" si="3"/>
        <v>0</v>
      </c>
      <c r="N44" s="4"/>
      <c r="P44" s="9">
        <f t="shared" si="4"/>
        <v>3233793.7745061209</v>
      </c>
      <c r="Q44" s="6">
        <f t="shared" si="5"/>
        <v>2.0667022293644179E-2</v>
      </c>
      <c r="R44" s="9">
        <f t="shared" si="0"/>
        <v>536945.26239263313</v>
      </c>
      <c r="W44" s="4"/>
    </row>
    <row r="45" spans="5:23" x14ac:dyDescent="0.25">
      <c r="E45" s="1">
        <v>22</v>
      </c>
      <c r="G45" s="3">
        <f t="shared" si="6"/>
        <v>-740024.99442581751</v>
      </c>
      <c r="H45" s="3">
        <f t="shared" si="7"/>
        <v>-360012.15942698647</v>
      </c>
      <c r="I45" s="3">
        <f t="shared" si="9"/>
        <v>-1100037.1538528041</v>
      </c>
      <c r="J45" s="9">
        <f t="shared" si="1"/>
        <v>3577264.1956889862</v>
      </c>
      <c r="K45" s="4"/>
      <c r="L45" s="9">
        <f t="shared" si="2"/>
        <v>3577264.1956889862</v>
      </c>
      <c r="M45" s="9">
        <f t="shared" si="3"/>
        <v>0</v>
      </c>
      <c r="N45" s="4"/>
      <c r="P45" s="9">
        <f t="shared" si="4"/>
        <v>3040318.9332963531</v>
      </c>
      <c r="Q45" s="6">
        <f t="shared" si="5"/>
        <v>1.943053378034923E-2</v>
      </c>
      <c r="R45" s="9">
        <f t="shared" si="0"/>
        <v>593326.64384766202</v>
      </c>
      <c r="W45" s="4"/>
    </row>
    <row r="46" spans="5:23" x14ac:dyDescent="0.25">
      <c r="E46" s="1">
        <v>23</v>
      </c>
      <c r="G46" s="3">
        <f t="shared" si="6"/>
        <v>-814027.4938683993</v>
      </c>
      <c r="H46" s="3">
        <f t="shared" si="7"/>
        <v>-396013.37538700947</v>
      </c>
      <c r="I46" s="3">
        <f t="shared" si="9"/>
        <v>-1210040.8692554086</v>
      </c>
      <c r="J46" s="9">
        <f t="shared" si="1"/>
        <v>3451746.153784405</v>
      </c>
      <c r="K46" s="4"/>
      <c r="L46" s="9">
        <f t="shared" si="2"/>
        <v>3451746.153784405</v>
      </c>
      <c r="M46" s="9">
        <f t="shared" si="3"/>
        <v>0</v>
      </c>
      <c r="N46" s="4"/>
      <c r="P46" s="9">
        <f t="shared" si="4"/>
        <v>2858419.509936743</v>
      </c>
      <c r="Q46" s="6">
        <f t="shared" si="5"/>
        <v>1.8268023212294149E-2</v>
      </c>
      <c r="R46" s="9">
        <f t="shared" si="0"/>
        <v>643229.29560703831</v>
      </c>
      <c r="W46" s="4"/>
    </row>
    <row r="47" spans="5:23" x14ac:dyDescent="0.25">
      <c r="E47" s="1">
        <v>24</v>
      </c>
      <c r="G47" s="3">
        <f t="shared" si="6"/>
        <v>-895430.24325523933</v>
      </c>
      <c r="H47" s="3">
        <f t="shared" si="7"/>
        <v>-435614.71293194708</v>
      </c>
      <c r="I47" s="3">
        <f t="shared" si="9"/>
        <v>-1331044.9561871863</v>
      </c>
      <c r="J47" s="9">
        <f t="shared" si="1"/>
        <v>3330632.2536672247</v>
      </c>
      <c r="K47" s="4"/>
      <c r="L47" s="9">
        <f t="shared" si="2"/>
        <v>3330632.2536672247</v>
      </c>
      <c r="M47" s="9">
        <f t="shared" si="3"/>
        <v>0</v>
      </c>
      <c r="N47" s="4"/>
      <c r="P47" s="9">
        <f t="shared" si="4"/>
        <v>2687402.9580601864</v>
      </c>
      <c r="Q47" s="6">
        <f t="shared" si="5"/>
        <v>1.7175064558567155E-2</v>
      </c>
      <c r="R47" s="9">
        <f t="shared" si="0"/>
        <v>687149.79837218253</v>
      </c>
      <c r="W47" s="4"/>
    </row>
    <row r="48" spans="5:23" x14ac:dyDescent="0.25">
      <c r="E48" s="1">
        <v>25</v>
      </c>
      <c r="G48" s="3">
        <f t="shared" si="6"/>
        <v>-984973.26758076332</v>
      </c>
      <c r="H48" s="3">
        <f t="shared" si="7"/>
        <v>-479176.18422738707</v>
      </c>
      <c r="I48" s="3">
        <f t="shared" si="9"/>
        <v>-1464149.4518081504</v>
      </c>
      <c r="J48" s="9">
        <f t="shared" si="1"/>
        <v>3213767.9640697939</v>
      </c>
      <c r="K48" s="4"/>
      <c r="L48" s="9">
        <f t="shared" si="2"/>
        <v>3213767.9640697939</v>
      </c>
      <c r="M48" s="9">
        <f t="shared" si="3"/>
        <v>0</v>
      </c>
      <c r="N48" s="4"/>
      <c r="P48" s="9">
        <f t="shared" si="4"/>
        <v>2526618.1656976114</v>
      </c>
      <c r="Q48" s="6">
        <f t="shared" si="5"/>
        <v>1.6147496593524678E-2</v>
      </c>
      <c r="R48" s="9">
        <f t="shared" si="0"/>
        <v>725551.19956147531</v>
      </c>
      <c r="W48" s="4"/>
    </row>
    <row r="49" spans="5:23" x14ac:dyDescent="0.25">
      <c r="E49" s="1">
        <v>26</v>
      </c>
      <c r="G49" s="3">
        <f t="shared" si="6"/>
        <v>-1083470.5943388396</v>
      </c>
      <c r="H49" s="3">
        <f t="shared" si="7"/>
        <v>-527093.80265093409</v>
      </c>
      <c r="I49" s="3">
        <f t="shared" si="9"/>
        <v>-1610564.3969897737</v>
      </c>
      <c r="J49" s="9">
        <f t="shared" ref="J49:J53" si="10">FV($I$20,(31-E49),0,I49,1)</f>
        <v>3101004.1758583747</v>
      </c>
      <c r="K49" s="4"/>
      <c r="L49" s="9">
        <f t="shared" si="2"/>
        <v>3101004.1758583747</v>
      </c>
      <c r="M49" s="9">
        <f t="shared" si="3"/>
        <v>0</v>
      </c>
      <c r="N49" s="4"/>
      <c r="P49" s="9">
        <f t="shared" si="4"/>
        <v>2375452.9762968994</v>
      </c>
      <c r="Q49" s="6">
        <f t="shared" si="5"/>
        <v>1.5181407053741148E-2</v>
      </c>
      <c r="R49" s="9">
        <f t="shared" si="0"/>
        <v>758865.15373674547</v>
      </c>
      <c r="W49" s="4"/>
    </row>
    <row r="50" spans="5:23" x14ac:dyDescent="0.25">
      <c r="E50" s="1">
        <v>27</v>
      </c>
      <c r="G50" s="3">
        <f t="shared" si="6"/>
        <v>-1191817.6537727236</v>
      </c>
      <c r="H50" s="3">
        <f t="shared" si="7"/>
        <v>-579803.18291631853</v>
      </c>
      <c r="I50" s="3">
        <f t="shared" si="9"/>
        <v>-1771620.8366890422</v>
      </c>
      <c r="J50" s="9">
        <f t="shared" si="10"/>
        <v>2992197.01179366</v>
      </c>
      <c r="K50" s="4"/>
      <c r="L50" s="9">
        <f t="shared" si="2"/>
        <v>2992197.01179366</v>
      </c>
      <c r="M50" s="9">
        <f t="shared" si="3"/>
        <v>0</v>
      </c>
      <c r="N50" s="4"/>
      <c r="P50" s="9">
        <f t="shared" si="4"/>
        <v>2233331.8580569145</v>
      </c>
      <c r="Q50" s="6">
        <f t="shared" si="5"/>
        <v>1.4273117742833562E-2</v>
      </c>
      <c r="R50" s="9">
        <f t="shared" si="0"/>
        <v>787493.93025586708</v>
      </c>
      <c r="W50" s="4"/>
    </row>
    <row r="51" spans="5:23" x14ac:dyDescent="0.25">
      <c r="E51" s="1">
        <v>28</v>
      </c>
      <c r="G51" s="3">
        <f t="shared" si="6"/>
        <v>-1310999.419149996</v>
      </c>
      <c r="H51" s="3">
        <f t="shared" si="7"/>
        <v>-637783.50120805518</v>
      </c>
      <c r="I51" s="3">
        <f t="shared" si="9"/>
        <v>-1948782.9203580511</v>
      </c>
      <c r="J51" s="9">
        <f t="shared" si="10"/>
        <v>2887207.6429589493</v>
      </c>
      <c r="K51" s="4"/>
      <c r="L51" s="9">
        <f t="shared" si="2"/>
        <v>2887207.6429589493</v>
      </c>
      <c r="M51" s="9">
        <f t="shared" si="3"/>
        <v>0</v>
      </c>
      <c r="N51" s="4"/>
      <c r="P51" s="9">
        <f t="shared" si="4"/>
        <v>2099713.7127030822</v>
      </c>
      <c r="Q51" s="6">
        <f t="shared" si="5"/>
        <v>1.3419170527450359E-2</v>
      </c>
      <c r="R51" s="9">
        <f t="shared" si="0"/>
        <v>811812.29626523284</v>
      </c>
      <c r="W51" s="4"/>
    </row>
    <row r="52" spans="5:23" x14ac:dyDescent="0.25">
      <c r="E52" s="1">
        <v>29</v>
      </c>
      <c r="G52" s="3">
        <f t="shared" si="6"/>
        <v>-1442099.3610649956</v>
      </c>
      <c r="H52" s="3">
        <f t="shared" si="7"/>
        <v>-701561.85132889834</v>
      </c>
      <c r="I52" s="3">
        <f t="shared" si="9"/>
        <v>-2143661.2123938939</v>
      </c>
      <c r="J52" s="9">
        <f t="shared" si="10"/>
        <v>2785902.1116271052</v>
      </c>
      <c r="K52" s="4"/>
      <c r="L52" s="9">
        <f t="shared" si="2"/>
        <v>2785902.1116271052</v>
      </c>
      <c r="M52" s="9">
        <f t="shared" si="3"/>
        <v>0</v>
      </c>
      <c r="N52" s="4"/>
      <c r="P52" s="9">
        <f t="shared" si="4"/>
        <v>1974089.8153618723</v>
      </c>
      <c r="Q52" s="6">
        <f t="shared" si="5"/>
        <v>1.2616314171107175E-2</v>
      </c>
      <c r="R52" s="9">
        <f t="shared" si="0"/>
        <v>832169.28265130939</v>
      </c>
      <c r="W52" s="4"/>
    </row>
    <row r="53" spans="5:23" x14ac:dyDescent="0.25">
      <c r="E53" s="1">
        <v>30</v>
      </c>
      <c r="G53" s="3">
        <f t="shared" si="6"/>
        <v>-1586309.2971714954</v>
      </c>
      <c r="H53" s="3">
        <f t="shared" si="7"/>
        <v>-771718.03646180173</v>
      </c>
      <c r="I53" s="3">
        <f t="shared" si="9"/>
        <v>-2358027.3336332971</v>
      </c>
      <c r="J53" s="9">
        <f t="shared" si="10"/>
        <v>2688151.160341959</v>
      </c>
      <c r="K53" s="4"/>
      <c r="L53" s="9">
        <f t="shared" si="2"/>
        <v>2688151.160341959</v>
      </c>
      <c r="M53" s="9">
        <f t="shared" si="3"/>
        <v>0</v>
      </c>
      <c r="N53" s="4"/>
      <c r="P53" s="9">
        <f t="shared" si="4"/>
        <v>1855981.8776906496</v>
      </c>
      <c r="Q53" s="6">
        <f t="shared" si="5"/>
        <v>1.1861491955741791E-2</v>
      </c>
      <c r="R53" s="9"/>
      <c r="W53" s="4"/>
    </row>
    <row r="54" spans="5:23" ht="15.75" thickBot="1" x14ac:dyDescent="0.3">
      <c r="J54" s="10">
        <f>SUM(J24:J53)</f>
        <v>138302849.80493689</v>
      </c>
      <c r="L54" s="10">
        <f>SUM(L24:M53)</f>
        <v>164450471.16484293</v>
      </c>
      <c r="M54" s="9"/>
      <c r="P54" s="10">
        <f>SUM(P24:P53)</f>
        <v>156471199.79643241</v>
      </c>
      <c r="Q54" s="9"/>
      <c r="R54" s="9"/>
      <c r="V54" s="4"/>
    </row>
    <row r="55" spans="5:23" ht="15.75" thickTop="1" x14ac:dyDescent="0.25">
      <c r="Q55" s="9"/>
      <c r="R55" s="9"/>
    </row>
    <row r="56" spans="5:23" x14ac:dyDescent="0.25">
      <c r="Q56" s="9"/>
      <c r="R56" s="9"/>
    </row>
    <row r="59" spans="5:23" x14ac:dyDescent="0.25">
      <c r="T59" s="4"/>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1DB03-2C3E-4AE0-98DA-5B617D872D9B}">
  <dimension ref="A4:S15"/>
  <sheetViews>
    <sheetView workbookViewId="0">
      <selection activeCell="G5" sqref="G5"/>
    </sheetView>
  </sheetViews>
  <sheetFormatPr defaultRowHeight="15" x14ac:dyDescent="0.25"/>
  <cols>
    <col min="1" max="1" width="23.42578125" bestFit="1" customWidth="1"/>
    <col min="3" max="3" width="32.7109375" customWidth="1"/>
    <col min="5" max="5" width="31" customWidth="1"/>
    <col min="6" max="7" width="10.5703125" bestFit="1" customWidth="1"/>
    <col min="8" max="9" width="9.5703125" bestFit="1" customWidth="1"/>
  </cols>
  <sheetData>
    <row r="4" spans="1:19" x14ac:dyDescent="0.25">
      <c r="A4" t="s">
        <v>1</v>
      </c>
      <c r="C4" s="8">
        <v>100000</v>
      </c>
    </row>
    <row r="5" spans="1:19" ht="90" x14ac:dyDescent="0.25">
      <c r="A5" s="5" t="s">
        <v>11</v>
      </c>
      <c r="C5" s="7">
        <v>0.36</v>
      </c>
    </row>
    <row r="8" spans="1:19" x14ac:dyDescent="0.25">
      <c r="F8" t="s">
        <v>21</v>
      </c>
      <c r="G8" t="s">
        <v>22</v>
      </c>
      <c r="H8" t="s">
        <v>23</v>
      </c>
      <c r="I8" t="s">
        <v>24</v>
      </c>
      <c r="J8" t="s">
        <v>25</v>
      </c>
      <c r="K8" t="s">
        <v>26</v>
      </c>
      <c r="L8" t="s">
        <v>27</v>
      </c>
      <c r="M8" t="s">
        <v>28</v>
      </c>
      <c r="N8" t="s">
        <v>31</v>
      </c>
      <c r="O8" t="s">
        <v>32</v>
      </c>
      <c r="P8" t="s">
        <v>33</v>
      </c>
      <c r="Q8" t="s">
        <v>34</v>
      </c>
      <c r="R8" t="s">
        <v>35</v>
      </c>
      <c r="S8" t="s">
        <v>36</v>
      </c>
    </row>
    <row r="9" spans="1:19" x14ac:dyDescent="0.25">
      <c r="C9" t="s">
        <v>29</v>
      </c>
      <c r="F9" s="3">
        <f>C5*C4</f>
        <v>36000</v>
      </c>
      <c r="G9" s="3">
        <f t="shared" ref="G9:S9" si="0">F9*$C$5</f>
        <v>12960</v>
      </c>
      <c r="H9" s="3">
        <f t="shared" si="0"/>
        <v>4665.5999999999995</v>
      </c>
      <c r="I9" s="3">
        <f t="shared" si="0"/>
        <v>1679.6159999999998</v>
      </c>
      <c r="J9" s="3">
        <f t="shared" si="0"/>
        <v>604.66175999999984</v>
      </c>
      <c r="K9" s="3">
        <f t="shared" si="0"/>
        <v>217.67823359999994</v>
      </c>
      <c r="L9" s="3">
        <f t="shared" si="0"/>
        <v>78.364164095999982</v>
      </c>
      <c r="M9" s="3">
        <f t="shared" si="0"/>
        <v>28.211099074559993</v>
      </c>
      <c r="N9" s="3">
        <f t="shared" si="0"/>
        <v>10.155995666841598</v>
      </c>
      <c r="O9" s="3">
        <f t="shared" si="0"/>
        <v>3.656158440062975</v>
      </c>
      <c r="P9" s="3">
        <f t="shared" si="0"/>
        <v>1.316217038422671</v>
      </c>
      <c r="Q9" s="3">
        <f t="shared" si="0"/>
        <v>0.47383813383216156</v>
      </c>
      <c r="R9" s="3">
        <f t="shared" si="0"/>
        <v>0.17058172817957815</v>
      </c>
      <c r="S9" s="3">
        <f t="shared" si="0"/>
        <v>6.1409422144648132E-2</v>
      </c>
    </row>
    <row r="12" spans="1:19" x14ac:dyDescent="0.25">
      <c r="C12" t="s">
        <v>30</v>
      </c>
      <c r="E12" s="3">
        <f>SUM(F9:S9)</f>
        <v>56249.965457200044</v>
      </c>
    </row>
    <row r="13" spans="1:19" ht="30" x14ac:dyDescent="0.25">
      <c r="C13" s="5" t="s">
        <v>37</v>
      </c>
      <c r="E13" s="2">
        <f>E12/C4</f>
        <v>0.56249965457200046</v>
      </c>
    </row>
    <row r="15" spans="1:19" x14ac:dyDescent="0.25">
      <c r="A15"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 vs DI</vt:lpstr>
      <vt:lpstr>Annexure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2018-06-04T14:52:11Z</dcterms:created>
  <dcterms:modified xsi:type="dcterms:W3CDTF">2018-12-07T10:09:39Z</dcterms:modified>
</cp:coreProperties>
</file>