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00" windowWidth="28800" windowHeight="12880" firstSheet="1" activeTab="2"/>
  </bookViews>
  <sheets>
    <sheet name="About" sheetId="1" r:id="rId1"/>
    <sheet name="Instructions" sheetId="2" r:id="rId2"/>
    <sheet name="BondCalculator" sheetId="3" r:id="rId3"/>
    <sheet name="AnnualAmort" sheetId="4" r:id="rId4"/>
    <sheet name="MonthAmort" sheetId="5" r:id="rId5"/>
    <sheet name="NetDisposable" sheetId="6" r:id="rId6"/>
  </sheets>
  <definedNames>
    <definedName name="_xlnm.Print_Area" localSheetId="3">'AnnualAmort'!$A$1:$G$33</definedName>
    <definedName name="_xlnm.Print_Titles" localSheetId="3">'AnnualAmort'!$1:$3</definedName>
    <definedName name="_xlnm.Print_Titles" localSheetId="1">'Instructions'!$1:$3</definedName>
    <definedName name="_xlnm.Print_Titles" localSheetId="4">'MonthAmort'!$1:$3</definedName>
    <definedName name="_xlnm.Print_Titles" localSheetId="5">'NetDisposable'!$1:$1</definedName>
  </definedNames>
  <calcPr fullCalcOnLoad="1"/>
</workbook>
</file>

<file path=xl/sharedStrings.xml><?xml version="1.0" encoding="utf-8"?>
<sst xmlns="http://schemas.openxmlformats.org/spreadsheetml/2006/main" count="587" uniqueCount="236">
  <si>
    <t>Interest</t>
  </si>
  <si>
    <t>www.excel-skills.com</t>
  </si>
  <si>
    <t>Annual Interest Rate</t>
  </si>
  <si>
    <t>Loan Repayment</t>
  </si>
  <si>
    <t>% Capital Outstanding</t>
  </si>
  <si>
    <t>Repayment Number</t>
  </si>
  <si>
    <t>Bond Calculator</t>
  </si>
  <si>
    <t>Bond Amount</t>
  </si>
  <si>
    <t>Total Interest over Bond Period</t>
  </si>
  <si>
    <t>Bond Period in Years</t>
  </si>
  <si>
    <t>Remuneration</t>
  </si>
  <si>
    <t>Operational Expenses</t>
  </si>
  <si>
    <t>Gross Salary</t>
  </si>
  <si>
    <t>Rent Paid</t>
  </si>
  <si>
    <t>Subsidies Received</t>
  </si>
  <si>
    <t>Water, Electricity &amp; Services</t>
  </si>
  <si>
    <t>Commission Received</t>
  </si>
  <si>
    <t>Rates &amp; Taxes</t>
  </si>
  <si>
    <t>Enter the average monthly commission received</t>
  </si>
  <si>
    <t>Total Allowances</t>
  </si>
  <si>
    <t>Repairs &amp; Maintenance</t>
  </si>
  <si>
    <t>Other</t>
  </si>
  <si>
    <t>Levies Paid</t>
  </si>
  <si>
    <t>Enter the total of any other remuneration received</t>
  </si>
  <si>
    <t>Deductions</t>
  </si>
  <si>
    <t>Insurance - Short Term</t>
  </si>
  <si>
    <t>Pension</t>
  </si>
  <si>
    <t>Insurance - Life</t>
  </si>
  <si>
    <t>Medical Aid</t>
  </si>
  <si>
    <t>Medical Costs</t>
  </si>
  <si>
    <t>Retirement Annuity</t>
  </si>
  <si>
    <t>Investments - Retirement Annuities</t>
  </si>
  <si>
    <t>Enter the total UIF deducted</t>
  </si>
  <si>
    <t>Income Tax (PAYE)</t>
  </si>
  <si>
    <t>Investments - Other</t>
  </si>
  <si>
    <t>Enter the total SDL deducted</t>
  </si>
  <si>
    <t>Unemployment Fund (UIF)</t>
  </si>
  <si>
    <t>Donations</t>
  </si>
  <si>
    <t>Skills Development Levy (SDL)</t>
  </si>
  <si>
    <t>Education</t>
  </si>
  <si>
    <t>This amount represents the monthly combined net remuneration</t>
  </si>
  <si>
    <t>Other Deductions</t>
  </si>
  <si>
    <t>Fuel &amp; Vehicle Maintenance</t>
  </si>
  <si>
    <t>Total Deductions</t>
  </si>
  <si>
    <t>Television Rental</t>
  </si>
  <si>
    <t>Enter the monthly average rental income received from existing buy to let properties</t>
  </si>
  <si>
    <t>Net Remuneration</t>
  </si>
  <si>
    <t>Memberships</t>
  </si>
  <si>
    <t>Enter monthly maintenance amount received from a previous spouse</t>
  </si>
  <si>
    <t>Subscriptions</t>
  </si>
  <si>
    <t>Enter the total monthly pension received</t>
  </si>
  <si>
    <t>Other Income</t>
  </si>
  <si>
    <t>Domestic Wages</t>
  </si>
  <si>
    <t>Dividend Income</t>
  </si>
  <si>
    <t>Gardening</t>
  </si>
  <si>
    <t>Rental Income</t>
  </si>
  <si>
    <t>Groceries</t>
  </si>
  <si>
    <t>Enter the monthly rates and taxes paid on properties owned</t>
  </si>
  <si>
    <t>Maintenance</t>
  </si>
  <si>
    <t>Clothing</t>
  </si>
  <si>
    <t>Enter the average monthly repairs and maintenance on existing properties</t>
  </si>
  <si>
    <t>Monthly Pension</t>
  </si>
  <si>
    <t>Entertainment</t>
  </si>
  <si>
    <t>Total Other Income</t>
  </si>
  <si>
    <t>Maintenance Payments</t>
  </si>
  <si>
    <t>Enter the average monthly telephone, cell phone and internet expense</t>
  </si>
  <si>
    <t>Enter the current monthly insurance premium</t>
  </si>
  <si>
    <t>Total Operational Expenses</t>
  </si>
  <si>
    <t>Enter the current monthly life insurance premium</t>
  </si>
  <si>
    <t>Financing Expenses</t>
  </si>
  <si>
    <t>Enter the total monthly premiums associated with retirement annuities</t>
  </si>
  <si>
    <t>Bond Repayments</t>
  </si>
  <si>
    <t>Enter the average monthly payments relating to other investments</t>
  </si>
  <si>
    <t>Personal Loan Instalments</t>
  </si>
  <si>
    <t>Financing - Motor Vehicles</t>
  </si>
  <si>
    <t>Financing - Computers</t>
  </si>
  <si>
    <t>Financing - Furniture</t>
  </si>
  <si>
    <t>Credit Card Repayments</t>
  </si>
  <si>
    <t>Bank Charges</t>
  </si>
  <si>
    <t>Total Financing Expenses</t>
  </si>
  <si>
    <t>Enter the average monthly cost associated with gardening services / landscaping</t>
  </si>
  <si>
    <t>Enter the average monthly grocery spend</t>
  </si>
  <si>
    <t>Net Disposable Income Calculation</t>
  </si>
  <si>
    <t>Enter the average monthly clothing spend</t>
  </si>
  <si>
    <t>Enter the average monthly cost associated with entertainment, take-outs and restaurants</t>
  </si>
  <si>
    <t>Add: Other Income</t>
  </si>
  <si>
    <t>Less: Operational Expenses</t>
  </si>
  <si>
    <t>Less: Financing Expenses</t>
  </si>
  <si>
    <t>Net Disposable Income</t>
  </si>
  <si>
    <t>Input Field Guidance</t>
  </si>
  <si>
    <t>Interest Rate Safety</t>
  </si>
  <si>
    <t>Annual Interest Rate Sensitivity</t>
  </si>
  <si>
    <t>Average Annual Inflation Rate</t>
  </si>
  <si>
    <t>Bond Repayment</t>
  </si>
  <si>
    <t>PV Factor</t>
  </si>
  <si>
    <t>PV Interest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</si>
  <si>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</si>
  <si>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</si>
  <si>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</si>
  <si>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</si>
  <si>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</si>
  <si>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</si>
  <si>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</si>
  <si>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</si>
  <si>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</si>
  <si>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</si>
  <si>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</si>
  <si>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</si>
  <si>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</si>
  <si>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</si>
  <si>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</si>
  <si>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</si>
  <si>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</si>
  <si>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</si>
  <si>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</si>
  <si>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</si>
  <si>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Annual Amortization Table</t>
  </si>
  <si>
    <t>Year 21</t>
  </si>
  <si>
    <t>Year 22</t>
  </si>
  <si>
    <t>Year 23</t>
  </si>
  <si>
    <t>Year 24</t>
  </si>
  <si>
    <t>Year 25</t>
  </si>
  <si>
    <t>Year 26</t>
  </si>
  <si>
    <t>Year 27</t>
  </si>
  <si>
    <t>Year 28</t>
  </si>
  <si>
    <t>Year 29</t>
  </si>
  <si>
    <t>Year 30</t>
  </si>
  <si>
    <t>Total Adjusted Interest over Bond Period</t>
  </si>
  <si>
    <t>Interest Saving</t>
  </si>
  <si>
    <t>Present Value of Interest Saving</t>
  </si>
  <si>
    <t>Years</t>
  </si>
  <si>
    <t>Amortization</t>
  </si>
  <si>
    <t>Increased Instalment</t>
  </si>
  <si>
    <t>Capital Repayment</t>
  </si>
  <si>
    <t>Minimum Required Net Disposable Income</t>
  </si>
  <si>
    <t>AnnualAmort Sheet</t>
  </si>
  <si>
    <t>NetDisposable Sheet</t>
  </si>
  <si>
    <t>BondCalculator Sheet</t>
  </si>
  <si>
    <t>MonthAmort Sheet</t>
  </si>
  <si>
    <t>Additional Monthly Bond Repayment</t>
  </si>
  <si>
    <t>Enter the average monthly vehicle fuel and maintenance costs</t>
  </si>
  <si>
    <t>Enter the monthly subscription fee applicable to television / cable rentals</t>
  </si>
  <si>
    <t>Enter the total monthly subscription fees applicable to newspapers, magazines, etc.</t>
  </si>
  <si>
    <t>Calculation Results:</t>
  </si>
  <si>
    <t>Monthly Amortization Table</t>
  </si>
  <si>
    <t>Excel Skills | Bond Calculator Template</t>
  </si>
  <si>
    <t>Instructions</t>
  </si>
  <si>
    <t>This sheet includes a detailed calculation of the monthly net disposable income. All values should be entered as positive values. Refer to the guidance that has been included from row 38 downwards for more information on the input that is required in each input cell.</t>
  </si>
  <si>
    <t>Help</t>
  </si>
  <si>
    <t>The monthly bond repayment amount is calculated from the bond principle amount (cell B4), bond period (cell B6) and the annual interest rate (cell B5).</t>
  </si>
  <si>
    <t>The total interest paid over the entire bond period is the total amount of interest that will have to be paid over the entire bond period.</t>
  </si>
  <si>
    <t>The interest rate safety percentage indicates the percentage by which interest rates have to increase before the monthly net disposable income would not be sufficient to cover the required monthly bond repayments.</t>
  </si>
  <si>
    <t>The interest rate sensitivity calculation measures the effect that changes in the bond interest rate have on monthly bond repayments. The interest rate sensitivity percentage that is entered in cell B8 is used for this purpose.</t>
  </si>
  <si>
    <t>The capital repayment chart is a visual display of the timing of capital repayments over the entire bond period.</t>
  </si>
  <si>
    <t>The minimum required net disposable income is the minimum net disposable income that is required in order to qualify for the bond principle amount that is entered in cell B4.</t>
  </si>
  <si>
    <t>This sheet includes an annual amortization table that is based on the bond input values that are entered in cell B4 to B6 on the BondCalculator sheet. We recommend that you pay special attention to the outstanding capital percentage in column G as it indicates how the capital will be repaid over the entire bond period. You'll notice that during the first few years of the bond repayment period, the monthly bond repayments consist almost entirely of interest.</t>
  </si>
  <si>
    <t>If you experience any difficulty while using this template, please e-mail us at support@excel-skills.com for assistance.</t>
  </si>
  <si>
    <t>Telephone / Cell Phone / Internet</t>
  </si>
  <si>
    <t>Enter the combined monthly gross household salaries</t>
  </si>
  <si>
    <t>Enter total of all subsidies received as part of remuneration, e.g.. housing subsidy</t>
  </si>
  <si>
    <t>Enter the total monthly allowances received as part of remuneration, e.g.. travel allowance, cell phone allowance, etc.</t>
  </si>
  <si>
    <t>Enter the total monthly pension fund deductions</t>
  </si>
  <si>
    <t>Enter the total monthly medical aid deductions</t>
  </si>
  <si>
    <t>Enter the total monthly retirement annuity contributions</t>
  </si>
  <si>
    <t>Enter the total monthly income tax deducted</t>
  </si>
  <si>
    <t>Enter the total of all other deductions, e.g.. funeral plan</t>
  </si>
  <si>
    <t>Enter the average monthly dividend income</t>
  </si>
  <si>
    <t>Enter the total monthly rent paid. If a primary residence is being acquired and a property is currently being rented, the rent amount should be excluded from the calculation</t>
  </si>
  <si>
    <t>Enter the monthly average for water, electricity and services paid to local government</t>
  </si>
  <si>
    <t>Enter the monthly levy payable to a body corporate for properties that form part of a complex</t>
  </si>
  <si>
    <t>Enter the average monthly medical costs that are not covered by a medical aid</t>
  </si>
  <si>
    <t>Enter the average monthly donations amount</t>
  </si>
  <si>
    <t>Enter the average monthly education cost, e.g.. school fees</t>
  </si>
  <si>
    <t>Enter the monthly average membership cost, e.g.. gym membership</t>
  </si>
  <si>
    <t>Enter the total monthly domestic wages, e.g.. housekeeper wages, gardener wages, etc.</t>
  </si>
  <si>
    <t>Enter a monthly total for maintenance payments relating to estranged spouses and dependents</t>
  </si>
  <si>
    <t>Enter total monthly cost of any other expense items that do not form part of any of the other categories</t>
  </si>
  <si>
    <t>Enter a monthly total for existing bond repayments</t>
  </si>
  <si>
    <t>Enter a monthly total for personal loan repayments</t>
  </si>
  <si>
    <t>Enter a monthly total for motor finance repayments</t>
  </si>
  <si>
    <t>Enter a monthly total for computer finance repayments</t>
  </si>
  <si>
    <t>Enter a monthly total for furniture finance repayments</t>
  </si>
  <si>
    <t>Enter a monthly total for credit card repayments</t>
  </si>
  <si>
    <t>Enter the average monthly combined bank charges</t>
  </si>
  <si>
    <t>Enter a total for any other financing payments that do not form part of the other financing cost categories</t>
  </si>
  <si>
    <t>Note: If you're experiencing any difficulty in completing this spreadsheet, we recommend using our Personal Finance template to analyze your monthly household expenses.</t>
  </si>
  <si>
    <t>Total Gross Remuneration</t>
  </si>
  <si>
    <t>Calculation Results</t>
  </si>
  <si>
    <t>Opening Balance</t>
  </si>
  <si>
    <t>Closing Balance</t>
  </si>
  <si>
    <t>Interest Charged</t>
  </si>
  <si>
    <t>Capital Repaid</t>
  </si>
  <si>
    <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t>
  </si>
  <si>
    <t>The following sheets are included in this template:</t>
  </si>
  <si>
    <t>Maximum Bond Qualification Amount</t>
  </si>
  <si>
    <t>Adjusted Bond Repayment Period (in months)</t>
  </si>
  <si>
    <t>Adjusted Bond Repayment Period (in years)</t>
  </si>
  <si>
    <t>Monthly Difference</t>
  </si>
  <si>
    <t>All the calculations in this template are based on the values that are entered in the input cells from cell B4 to B9 on the BondCalculator sheet (except for the net disposable income calculation). Input guidance is displayed below the selected input cell. We have also added data validation to all input cells to ensure that only valid user input is accepted.</t>
  </si>
  <si>
    <t>The monthly net disposable Income is calculated on the NetDisposable sheet - refer to this sheet for more information on the calculation.</t>
  </si>
  <si>
    <t>The maximum bond qualification amount is calculated based on the net disposable income, annual interest rate and bond period. It represents an estimate of the maximum bond amount that applicants can qualify for based on their combined monthly net disposable income. There are a number of other factors that financial institutions will consider when determining the maximum bond qualification amount - our calculation should therefore only be seen as an estimate which cannot be guaranteed.</t>
  </si>
  <si>
    <t>The increased instalment calculations in row 21 to 26 are based on the additional monthly bond repayment that is entered in cell B7. The assumption is made that the entire additional bond repayments are deducted from the outstanding capital balance, thereby resulting in a shorter bond repayment period. Note that the present value of the interest saving is calculated by discounting the monthly interest savings by the average annual inflation rate over the entire bond period. It therefore represents the value of future interest savings in today's monetary terms.</t>
  </si>
  <si>
    <t>The increased instalment interest saving chart is a visual display of the interest savings that result from effecting increased monthly bond repayments.</t>
  </si>
  <si>
    <t>This sheet includes a monthly amortization table that is based on the bond input values that are entered in cell B4 to B6 on the BondCalculator sheet.</t>
  </si>
  <si>
    <t>The total bond repayment over the bond period is the sum of all the monthly bond repayment amounts. This amount consists of all interest charges and capital repayments.</t>
  </si>
  <si>
    <t>Total Bond Repayment over Bond Period</t>
  </si>
  <si>
    <t>© www.excel-skills.com</t>
  </si>
  <si>
    <t>Total Adjusted Bond Repayment</t>
  </si>
  <si>
    <t>Bond Cost multple</t>
  </si>
  <si>
    <t>Total Adjusted Bond Cost multiple</t>
  </si>
  <si>
    <t>Debit Order Amount</t>
  </si>
  <si>
    <t>Additional Monthly Once-Off Payments</t>
  </si>
  <si>
    <t>Adjusted Bond Repayment Saving (in Years)</t>
  </si>
  <si>
    <t>Input Variables - Complete these cells</t>
  </si>
  <si>
    <t>How much do you still owe?</t>
  </si>
  <si>
    <t>How much is your standing order?</t>
  </si>
  <si>
    <t>What is the rate of your loan?</t>
  </si>
  <si>
    <t>How many years do you have left?</t>
  </si>
  <si>
    <t>If you pay extra on the default, this is how much that is per month</t>
  </si>
  <si>
    <t>Enter the Inflation rate</t>
  </si>
  <si>
    <t>Enter the anticipated future rate</t>
  </si>
  <si>
    <t>Total Monthly repayment amount</t>
  </si>
  <si>
    <t>This is how much per month you are paying back</t>
  </si>
  <si>
    <t>If interest rates go up, how much would your default payment be</t>
  </si>
  <si>
    <t>How much extra is your default payment when interest rates go up</t>
  </si>
  <si>
    <t>Do you pay something extra per month?</t>
  </si>
  <si>
    <t>This is the default monthly amount you should pay back if you want to settle the loan in the period you have left</t>
  </si>
  <si>
    <t>If you pay the defaults</t>
  </si>
  <si>
    <t>Total cost of the loan + interest</t>
  </si>
  <si>
    <t>How many times you are buying your house</t>
  </si>
  <si>
    <t>What happens when you pay extra</t>
  </si>
  <si>
    <t>How many months</t>
  </si>
  <si>
    <t>How many years</t>
  </si>
  <si>
    <t>How much interest you are saving</t>
  </si>
  <si>
    <t>How much interest are you paying for the loan</t>
  </si>
  <si>
    <t>How many years you save by paying more</t>
  </si>
</sst>
</file>

<file path=xl/styles.xml><?xml version="1.0" encoding="utf-8"?>
<styleSheet xmlns="http://schemas.openxmlformats.org/spreadsheetml/2006/main">
  <numFmts count="1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_ &quot;R&quot;\ * #,##0_ ;_ &quot;R&quot;\ * \-#,##0_ ;_ &quot;R&quot;\ * &quot;-&quot;_ ;_ @_ "/>
    <numFmt numFmtId="165" formatCode="_ * #,##0_ ;_ * \-#,##0_ ;_ * &quot;-&quot;_ ;_ @_ "/>
    <numFmt numFmtId="166" formatCode="_ &quot;R&quot;\ * #,##0.00_ ;_ &quot;R&quot;\ * \-#,##0.00_ ;_ &quot;R&quot;\ * &quot;-&quot;??_ ;_ @_ "/>
    <numFmt numFmtId="167" formatCode="_ * #,##0.00_ ;_ * \-#,##0.00_ ;_ * &quot;-&quot;??_ ;_ @_ "/>
    <numFmt numFmtId="168" formatCode="0.0%"/>
    <numFmt numFmtId="169" formatCode="_ * #,##0_ ;_ * \-#,##0_ ;_ * &quot;-&quot;??_ ;_ @_ "/>
    <numFmt numFmtId="170" formatCode="#,##0.000_ ;\-#,##0.000\ "/>
    <numFmt numFmtId="171" formatCode="_ * #,##0.00_ ;_ * \-#,##0.00_ ;_ * &quot;-&quot;???_ ;_ @_ "/>
    <numFmt numFmtId="172" formatCode="#,##0_ ;\-#,##0\ "/>
    <numFmt numFmtId="173" formatCode="_ * &quot;R&quot;\ #,##0.00_ ;_ * \-&quot;R&quot;\ #,##0.00_ ;_ * &quot;-&quot;??_ ;_ @_ "/>
  </numFmts>
  <fonts count="79">
    <font>
      <sz val="10"/>
      <name val="Arial"/>
      <family val="0"/>
    </font>
    <font>
      <u val="single"/>
      <sz val="8"/>
      <color indexed="36"/>
      <name val="Arial"/>
      <family val="2"/>
    </font>
    <font>
      <u val="single"/>
      <sz val="8"/>
      <color indexed="12"/>
      <name val="Arial"/>
      <family val="2"/>
    </font>
    <font>
      <sz val="8"/>
      <name val="Arial"/>
      <family val="2"/>
    </font>
    <font>
      <b/>
      <sz val="14"/>
      <name val="Arial"/>
      <family val="2"/>
    </font>
    <font>
      <b/>
      <sz val="11"/>
      <color indexed="9"/>
      <name val="Arial"/>
      <family val="2"/>
    </font>
    <font>
      <b/>
      <sz val="11"/>
      <name val="Arial"/>
      <family val="2"/>
    </font>
    <font>
      <b/>
      <u val="single"/>
      <sz val="12"/>
      <color indexed="17"/>
      <name val="Calibri"/>
      <family val="2"/>
    </font>
    <font>
      <b/>
      <sz val="12"/>
      <name val="Arial"/>
      <family val="2"/>
    </font>
    <font>
      <i/>
      <sz val="12"/>
      <name val="Arial"/>
      <family val="2"/>
    </font>
    <font>
      <i/>
      <sz val="11"/>
      <name val="Arial"/>
      <family val="2"/>
    </font>
    <font>
      <b/>
      <u val="single"/>
      <sz val="12"/>
      <color indexed="17"/>
      <name val="Arial"/>
      <family val="2"/>
    </font>
    <font>
      <b/>
      <u val="single"/>
      <sz val="11"/>
      <color indexed="17"/>
      <name val="Arial"/>
      <family val="2"/>
    </font>
    <font>
      <b/>
      <sz val="9.5"/>
      <name val="Arial"/>
      <family val="2"/>
    </font>
    <font>
      <sz val="9.5"/>
      <name val="Arial"/>
      <family val="2"/>
    </font>
    <font>
      <sz val="11"/>
      <name val="Arial"/>
      <family val="2"/>
    </font>
    <font>
      <sz val="12"/>
      <name val="Arial"/>
      <family val="2"/>
    </font>
    <font>
      <sz val="12"/>
      <color indexed="10"/>
      <name val="Arial"/>
      <family val="2"/>
    </font>
    <font>
      <sz val="12"/>
      <color indexed="12"/>
      <name val="Arial"/>
      <family val="2"/>
    </font>
    <font>
      <sz val="9.5"/>
      <color indexed="10"/>
      <name val="Arial"/>
      <family val="2"/>
    </font>
    <font>
      <sz val="9.5"/>
      <color indexed="17"/>
      <name val="Arial"/>
      <family val="2"/>
    </font>
    <font>
      <sz val="9.5"/>
      <color indexed="8"/>
      <name val="Arial"/>
      <family val="2"/>
    </font>
    <font>
      <b/>
      <sz val="9.5"/>
      <color indexed="8"/>
      <name val="Arial"/>
      <family val="2"/>
    </font>
    <font>
      <sz val="9.5"/>
      <color indexed="12"/>
      <name val="Arial"/>
      <family val="2"/>
    </font>
    <font>
      <b/>
      <sz val="9.5"/>
      <color indexed="17"/>
      <name val="Arial"/>
      <family val="2"/>
    </font>
    <font>
      <b/>
      <sz val="9.5"/>
      <color indexed="10"/>
      <name val="Arial"/>
      <family val="2"/>
    </font>
    <font>
      <b/>
      <sz val="9.5"/>
      <color indexed="12"/>
      <name val="Arial"/>
      <family val="2"/>
    </font>
    <font>
      <sz val="11"/>
      <color indexed="10"/>
      <name val="Arial"/>
      <family val="2"/>
    </font>
    <font>
      <sz val="11"/>
      <color indexed="12"/>
      <name val="Arial"/>
      <family val="2"/>
    </font>
    <font>
      <sz val="9.5"/>
      <color indexed="9"/>
      <name val="Arial"/>
      <family val="2"/>
    </font>
    <font>
      <b/>
      <sz val="12"/>
      <color indexed="8"/>
      <name val="Arial"/>
      <family val="2"/>
    </font>
    <font>
      <sz val="9.75"/>
      <color indexed="8"/>
      <name val="Arial"/>
      <family val="0"/>
    </font>
    <font>
      <b/>
      <sz val="9"/>
      <color indexed="9"/>
      <name val="Arial"/>
      <family val="0"/>
    </font>
    <font>
      <sz val="5.25"/>
      <color indexed="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43"/>
      <name val="Arial"/>
      <family val="0"/>
    </font>
    <font>
      <b/>
      <sz val="14"/>
      <color indexed="43"/>
      <name val="Arial"/>
      <family val="0"/>
    </font>
    <font>
      <b/>
      <sz val="10.5"/>
      <color indexed="9"/>
      <name val="Arial"/>
      <family val="0"/>
    </font>
    <font>
      <sz val="10"/>
      <color indexed="9"/>
      <name val="Arial"/>
      <family val="0"/>
    </font>
    <font>
      <sz val="10"/>
      <color indexed="26"/>
      <name val="Arial"/>
      <family val="0"/>
    </font>
    <font>
      <b/>
      <sz val="10.5"/>
      <color indexed="52"/>
      <name val="Arial"/>
      <family val="0"/>
    </font>
    <font>
      <b/>
      <u val="single"/>
      <sz val="11"/>
      <color indexed="9"/>
      <name val="Arial"/>
      <family val="0"/>
    </font>
    <font>
      <b/>
      <sz val="8"/>
      <color indexed="9"/>
      <name val="Arial"/>
      <family val="0"/>
    </font>
    <font>
      <b/>
      <sz val="9"/>
      <color indexed="43"/>
      <name val="Arial"/>
      <family val="0"/>
    </font>
    <font>
      <b/>
      <sz val="12"/>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292929"/>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double"/>
      <bottom>
        <color indexed="63"/>
      </bottom>
    </border>
    <border>
      <left style="thin">
        <color indexed="22"/>
      </left>
      <right style="thin">
        <color indexed="22"/>
      </right>
      <top style="thin">
        <color indexed="22"/>
      </top>
      <bottom style="thin">
        <color indexed="22"/>
      </bottom>
    </border>
  </borders>
  <cellStyleXfs count="66">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18">
    <xf numFmtId="0" fontId="0" fillId="0" borderId="0" xfId="0" applyAlignment="1">
      <alignment wrapText="1"/>
    </xf>
    <xf numFmtId="0" fontId="0" fillId="0" borderId="0" xfId="0" applyAlignment="1" applyProtection="1">
      <alignment horizontal="justify"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0" fillId="0" borderId="0" xfId="0" applyFont="1" applyAlignment="1" applyProtection="1">
      <alignment horizontal="justify" vertical="center" wrapText="1"/>
      <protection hidden="1"/>
    </xf>
    <xf numFmtId="0" fontId="0" fillId="0" borderId="0" xfId="0" applyFont="1" applyAlignment="1" applyProtection="1">
      <alignment horizontal="justify" vertical="center" wrapText="1"/>
      <protection hidden="1"/>
    </xf>
    <xf numFmtId="0" fontId="6" fillId="0" borderId="0" xfId="0" applyFont="1" applyAlignment="1" applyProtection="1">
      <alignment horizontal="justify" vertical="center" wrapText="1"/>
      <protection hidden="1"/>
    </xf>
    <xf numFmtId="0" fontId="0" fillId="0" borderId="0" xfId="0" applyAlignment="1" applyProtection="1">
      <alignment wrapText="1"/>
      <protection hidden="1"/>
    </xf>
    <xf numFmtId="0" fontId="0" fillId="0" borderId="0" xfId="0" applyAlignment="1" applyProtection="1">
      <alignment horizontal="justify" wrapText="1"/>
      <protection hidden="1"/>
    </xf>
    <xf numFmtId="0" fontId="4" fillId="0" borderId="0" xfId="0" applyFont="1" applyAlignment="1" applyProtection="1">
      <alignment/>
      <protection hidden="1"/>
    </xf>
    <xf numFmtId="0" fontId="9" fillId="0" borderId="0" xfId="0" applyFont="1" applyAlignment="1" applyProtection="1">
      <alignment/>
      <protection hidden="1"/>
    </xf>
    <xf numFmtId="0" fontId="11" fillId="0" borderId="0" xfId="53" applyFont="1" applyAlignment="1" applyProtection="1">
      <alignment horizontal="right"/>
      <protection hidden="1"/>
    </xf>
    <xf numFmtId="0" fontId="7" fillId="0" borderId="0" xfId="53" applyFont="1" applyAlignment="1" applyProtection="1">
      <alignment horizontal="right"/>
      <protection hidden="1"/>
    </xf>
    <xf numFmtId="169" fontId="14" fillId="33" borderId="10" xfId="42" applyNumberFormat="1" applyFont="1" applyFill="1" applyBorder="1" applyAlignment="1" applyProtection="1">
      <alignment/>
      <protection locked="0"/>
    </xf>
    <xf numFmtId="0" fontId="10" fillId="0" borderId="0" xfId="58" applyFont="1" applyProtection="1">
      <alignment/>
      <protection hidden="1"/>
    </xf>
    <xf numFmtId="0" fontId="12" fillId="0" borderId="0" xfId="53" applyFont="1" applyAlignment="1" applyProtection="1">
      <alignment horizontal="right"/>
      <protection hidden="1"/>
    </xf>
    <xf numFmtId="0" fontId="14" fillId="0" borderId="0" xfId="0" applyFont="1" applyAlignment="1" applyProtection="1">
      <alignment/>
      <protection hidden="1"/>
    </xf>
    <xf numFmtId="0" fontId="6" fillId="0" borderId="0" xfId="0" applyFont="1" applyAlignment="1" applyProtection="1">
      <alignment/>
      <protection hidden="1"/>
    </xf>
    <xf numFmtId="167" fontId="14" fillId="0" borderId="0" xfId="42" applyFont="1" applyAlignment="1" applyProtection="1">
      <alignment/>
      <protection hidden="1"/>
    </xf>
    <xf numFmtId="169" fontId="14" fillId="0" borderId="0" xfId="0" applyNumberFormat="1" applyFont="1" applyAlignment="1" applyProtection="1">
      <alignment/>
      <protection hidden="1"/>
    </xf>
    <xf numFmtId="169" fontId="14" fillId="0" borderId="0" xfId="42" applyNumberFormat="1" applyFont="1" applyAlignment="1" applyProtection="1">
      <alignment/>
      <protection hidden="1"/>
    </xf>
    <xf numFmtId="10" fontId="14" fillId="0" borderId="0" xfId="62" applyNumberFormat="1" applyFont="1" applyAlignment="1" applyProtection="1">
      <alignment/>
      <protection hidden="1"/>
    </xf>
    <xf numFmtId="0" fontId="8" fillId="0" borderId="0" xfId="58" applyFont="1" applyBorder="1" applyAlignment="1" applyProtection="1">
      <alignment horizontal="left"/>
      <protection hidden="1"/>
    </xf>
    <xf numFmtId="0" fontId="16" fillId="0" borderId="0" xfId="58" applyFont="1" applyProtection="1">
      <alignment/>
      <protection hidden="1"/>
    </xf>
    <xf numFmtId="0" fontId="13" fillId="0" borderId="0" xfId="58" applyFont="1" applyBorder="1" applyProtection="1">
      <alignment/>
      <protection hidden="1"/>
    </xf>
    <xf numFmtId="169" fontId="14" fillId="0" borderId="0" xfId="42" applyNumberFormat="1" applyFont="1" applyBorder="1" applyAlignment="1" applyProtection="1">
      <alignment/>
      <protection hidden="1"/>
    </xf>
    <xf numFmtId="0" fontId="19" fillId="0" borderId="0" xfId="42" applyNumberFormat="1" applyFont="1" applyFill="1" applyBorder="1" applyAlignment="1" applyProtection="1">
      <alignment horizontal="center"/>
      <protection hidden="1"/>
    </xf>
    <xf numFmtId="0" fontId="13" fillId="0" borderId="0" xfId="58" applyFont="1" applyFill="1" applyBorder="1" applyProtection="1">
      <alignment/>
      <protection hidden="1"/>
    </xf>
    <xf numFmtId="0" fontId="19" fillId="0" borderId="0" xfId="42" applyNumberFormat="1" applyFont="1" applyBorder="1" applyAlignment="1" applyProtection="1">
      <alignment horizontal="center"/>
      <protection hidden="1"/>
    </xf>
    <xf numFmtId="0" fontId="14" fillId="0" borderId="0" xfId="58" applyFont="1" applyProtection="1">
      <alignment/>
      <protection hidden="1"/>
    </xf>
    <xf numFmtId="0" fontId="14" fillId="0" borderId="0" xfId="58" applyFont="1" applyBorder="1" applyProtection="1">
      <alignment/>
      <protection hidden="1"/>
    </xf>
    <xf numFmtId="0" fontId="20" fillId="0" borderId="0" xfId="42" applyNumberFormat="1" applyFont="1" applyFill="1" applyBorder="1" applyAlignment="1" applyProtection="1">
      <alignment horizontal="center"/>
      <protection hidden="1"/>
    </xf>
    <xf numFmtId="0" fontId="14" fillId="0" borderId="0" xfId="58" applyFont="1" applyFill="1" applyBorder="1" applyProtection="1">
      <alignment/>
      <protection hidden="1"/>
    </xf>
    <xf numFmtId="0" fontId="20" fillId="0" borderId="0" xfId="42" applyNumberFormat="1" applyFont="1" applyBorder="1" applyAlignment="1" applyProtection="1">
      <alignment horizontal="center"/>
      <protection hidden="1"/>
    </xf>
    <xf numFmtId="0" fontId="21" fillId="0" borderId="0" xfId="58" applyFont="1" applyBorder="1" applyProtection="1">
      <alignment/>
      <protection hidden="1"/>
    </xf>
    <xf numFmtId="0" fontId="14" fillId="0" borderId="0" xfId="58" applyFont="1" applyFill="1" applyBorder="1" applyProtection="1">
      <alignment/>
      <protection hidden="1"/>
    </xf>
    <xf numFmtId="169" fontId="13" fillId="34" borderId="10" xfId="42" applyNumberFormat="1" applyFont="1" applyFill="1" applyBorder="1" applyAlignment="1" applyProtection="1">
      <alignment/>
      <protection hidden="1"/>
    </xf>
    <xf numFmtId="0" fontId="21" fillId="0" borderId="0" xfId="58" applyFont="1" applyFill="1" applyBorder="1" applyProtection="1">
      <alignment/>
      <protection hidden="1"/>
    </xf>
    <xf numFmtId="0" fontId="22" fillId="0" borderId="0" xfId="58" applyFont="1" applyFill="1" applyBorder="1" applyProtection="1">
      <alignment/>
      <protection hidden="1"/>
    </xf>
    <xf numFmtId="0" fontId="23" fillId="0" borderId="0" xfId="58" applyFont="1" applyProtection="1">
      <alignment/>
      <protection hidden="1"/>
    </xf>
    <xf numFmtId="169" fontId="13" fillId="0" borderId="0" xfId="42" applyNumberFormat="1" applyFont="1" applyBorder="1" applyAlignment="1" applyProtection="1">
      <alignment/>
      <protection hidden="1"/>
    </xf>
    <xf numFmtId="0" fontId="24" fillId="0" borderId="0" xfId="42" applyNumberFormat="1" applyFont="1" applyFill="1" applyBorder="1" applyAlignment="1" applyProtection="1">
      <alignment horizontal="center"/>
      <protection hidden="1"/>
    </xf>
    <xf numFmtId="0" fontId="13" fillId="0" borderId="0" xfId="58" applyFont="1" applyProtection="1">
      <alignment/>
      <protection hidden="1"/>
    </xf>
    <xf numFmtId="0" fontId="14" fillId="0" borderId="0" xfId="58" applyFont="1" applyBorder="1" applyProtection="1">
      <alignment/>
      <protection hidden="1"/>
    </xf>
    <xf numFmtId="0" fontId="25" fillId="0" borderId="0" xfId="42" applyNumberFormat="1" applyFont="1" applyFill="1" applyBorder="1" applyAlignment="1" applyProtection="1">
      <alignment horizontal="center"/>
      <protection hidden="1"/>
    </xf>
    <xf numFmtId="0" fontId="14" fillId="0" borderId="11" xfId="58" applyFont="1" applyBorder="1" applyProtection="1">
      <alignment/>
      <protection hidden="1"/>
    </xf>
    <xf numFmtId="169" fontId="14" fillId="0" borderId="11" xfId="42" applyNumberFormat="1" applyFont="1" applyBorder="1" applyAlignment="1" applyProtection="1">
      <alignment/>
      <protection hidden="1"/>
    </xf>
    <xf numFmtId="0" fontId="19" fillId="0" borderId="11" xfId="42" applyNumberFormat="1" applyFont="1" applyFill="1" applyBorder="1" applyAlignment="1" applyProtection="1">
      <alignment horizontal="center"/>
      <protection hidden="1"/>
    </xf>
    <xf numFmtId="0" fontId="19" fillId="0" borderId="11" xfId="42" applyNumberFormat="1" applyFont="1" applyBorder="1" applyAlignment="1" applyProtection="1">
      <alignment horizontal="center"/>
      <protection hidden="1"/>
    </xf>
    <xf numFmtId="0" fontId="23" fillId="0" borderId="11" xfId="58" applyFont="1" applyBorder="1" applyProtection="1">
      <alignment/>
      <protection hidden="1"/>
    </xf>
    <xf numFmtId="0" fontId="14" fillId="0" borderId="0" xfId="58" applyFont="1" applyProtection="1">
      <alignment/>
      <protection hidden="1"/>
    </xf>
    <xf numFmtId="0" fontId="19" fillId="0" borderId="0" xfId="42" applyNumberFormat="1" applyFont="1" applyAlignment="1" applyProtection="1">
      <alignment horizontal="center"/>
      <protection hidden="1"/>
    </xf>
    <xf numFmtId="0" fontId="23" fillId="0" borderId="0" xfId="58" applyFont="1" applyProtection="1">
      <alignment/>
      <protection hidden="1"/>
    </xf>
    <xf numFmtId="169" fontId="13" fillId="34" borderId="12" xfId="42" applyNumberFormat="1" applyFont="1" applyFill="1" applyBorder="1" applyAlignment="1" applyProtection="1">
      <alignment/>
      <protection hidden="1"/>
    </xf>
    <xf numFmtId="169" fontId="14" fillId="0" borderId="0" xfId="42" applyNumberFormat="1" applyFont="1" applyAlignment="1" applyProtection="1">
      <alignment/>
      <protection hidden="1"/>
    </xf>
    <xf numFmtId="0" fontId="8" fillId="0" borderId="0" xfId="58" applyFont="1" applyBorder="1" applyProtection="1">
      <alignment/>
      <protection hidden="1"/>
    </xf>
    <xf numFmtId="169" fontId="8" fillId="34" borderId="12" xfId="42" applyNumberFormat="1" applyFont="1" applyFill="1" applyBorder="1" applyAlignment="1" applyProtection="1">
      <alignment/>
      <protection hidden="1"/>
    </xf>
    <xf numFmtId="0" fontId="17" fillId="0" borderId="0" xfId="42" applyNumberFormat="1" applyFont="1" applyFill="1" applyBorder="1" applyAlignment="1" applyProtection="1">
      <alignment horizontal="center"/>
      <protection hidden="1"/>
    </xf>
    <xf numFmtId="169" fontId="16" fillId="0" borderId="0" xfId="42" applyNumberFormat="1" applyFont="1" applyAlignment="1" applyProtection="1">
      <alignment/>
      <protection hidden="1"/>
    </xf>
    <xf numFmtId="0" fontId="17" fillId="0" borderId="0" xfId="42" applyNumberFormat="1" applyFont="1" applyAlignment="1" applyProtection="1">
      <alignment horizontal="center"/>
      <protection hidden="1"/>
    </xf>
    <xf numFmtId="0" fontId="18" fillId="0" borderId="0" xfId="58" applyFont="1" applyProtection="1">
      <alignment/>
      <protection hidden="1"/>
    </xf>
    <xf numFmtId="169" fontId="14" fillId="0" borderId="0" xfId="42" applyNumberFormat="1" applyFont="1" applyBorder="1" applyAlignment="1" applyProtection="1">
      <alignment/>
      <protection hidden="1"/>
    </xf>
    <xf numFmtId="0" fontId="20" fillId="0" borderId="0" xfId="42" applyNumberFormat="1" applyFont="1" applyFill="1" applyBorder="1" applyAlignment="1" applyProtection="1">
      <alignment horizontal="center"/>
      <protection hidden="1"/>
    </xf>
    <xf numFmtId="0" fontId="26" fillId="0" borderId="0" xfId="58" applyFont="1" applyProtection="1">
      <alignment/>
      <protection hidden="1"/>
    </xf>
    <xf numFmtId="0" fontId="26" fillId="0" borderId="0" xfId="58" applyFont="1" applyBorder="1" applyProtection="1">
      <alignment/>
      <protection hidden="1"/>
    </xf>
    <xf numFmtId="169" fontId="26" fillId="0" borderId="0" xfId="42" applyNumberFormat="1" applyFont="1" applyBorder="1" applyAlignment="1" applyProtection="1">
      <alignment/>
      <protection hidden="1"/>
    </xf>
    <xf numFmtId="0" fontId="25" fillId="0" borderId="0" xfId="42" applyNumberFormat="1" applyFont="1" applyBorder="1" applyAlignment="1" applyProtection="1">
      <alignment horizontal="center"/>
      <protection hidden="1"/>
    </xf>
    <xf numFmtId="0" fontId="13" fillId="0" borderId="0" xfId="58" applyFont="1" applyFill="1" applyBorder="1" applyAlignment="1" applyProtection="1">
      <alignment wrapText="1"/>
      <protection hidden="1"/>
    </xf>
    <xf numFmtId="0" fontId="19" fillId="0" borderId="0" xfId="42" applyNumberFormat="1" applyFont="1" applyFill="1" applyAlignment="1" applyProtection="1">
      <alignment horizontal="center"/>
      <protection hidden="1"/>
    </xf>
    <xf numFmtId="0" fontId="21" fillId="0" borderId="0" xfId="58" applyFont="1" applyProtection="1">
      <alignment/>
      <protection hidden="1"/>
    </xf>
    <xf numFmtId="0" fontId="15" fillId="0" borderId="0" xfId="58" applyFont="1" applyProtection="1">
      <alignment/>
      <protection hidden="1"/>
    </xf>
    <xf numFmtId="169" fontId="15" fillId="0" borderId="0" xfId="42" applyNumberFormat="1" applyFont="1" applyAlignment="1" applyProtection="1">
      <alignment/>
      <protection hidden="1"/>
    </xf>
    <xf numFmtId="0" fontId="27" fillId="0" borderId="0" xfId="42" applyNumberFormat="1" applyFont="1" applyFill="1" applyAlignment="1" applyProtection="1">
      <alignment horizontal="center"/>
      <protection hidden="1"/>
    </xf>
    <xf numFmtId="0" fontId="27" fillId="0" borderId="0" xfId="42" applyNumberFormat="1" applyFont="1" applyAlignment="1" applyProtection="1">
      <alignment horizontal="center"/>
      <protection hidden="1"/>
    </xf>
    <xf numFmtId="0" fontId="28" fillId="0" borderId="0" xfId="58" applyFont="1" applyProtection="1">
      <alignment/>
      <protection hidden="1"/>
    </xf>
    <xf numFmtId="0" fontId="29" fillId="0" borderId="0" xfId="0" applyFont="1" applyAlignment="1" applyProtection="1">
      <alignment/>
      <protection hidden="1"/>
    </xf>
    <xf numFmtId="167" fontId="29" fillId="0" borderId="0" xfId="42" applyFont="1" applyAlignment="1" applyProtection="1">
      <alignment/>
      <protection hidden="1"/>
    </xf>
    <xf numFmtId="0" fontId="15" fillId="0" borderId="0" xfId="0" applyFont="1" applyAlignment="1" applyProtection="1">
      <alignment wrapText="1"/>
      <protection hidden="1"/>
    </xf>
    <xf numFmtId="0" fontId="5" fillId="0" borderId="0" xfId="0" applyFont="1" applyAlignment="1" applyProtection="1">
      <alignment horizontal="center" wrapText="1"/>
      <protection hidden="1"/>
    </xf>
    <xf numFmtId="167" fontId="5" fillId="0" borderId="0" xfId="42" applyFont="1" applyBorder="1" applyAlignment="1" applyProtection="1">
      <alignment horizontal="center" wrapText="1"/>
      <protection hidden="1"/>
    </xf>
    <xf numFmtId="168" fontId="14" fillId="0" borderId="0" xfId="62" applyNumberFormat="1" applyFont="1" applyAlignment="1" applyProtection="1">
      <alignment/>
      <protection hidden="1"/>
    </xf>
    <xf numFmtId="167" fontId="29" fillId="0" borderId="0" xfId="0" applyNumberFormat="1" applyFont="1" applyAlignment="1" applyProtection="1">
      <alignment/>
      <protection hidden="1"/>
    </xf>
    <xf numFmtId="0" fontId="14" fillId="0" borderId="0" xfId="59" applyFont="1" applyProtection="1">
      <alignment/>
      <protection hidden="1"/>
    </xf>
    <xf numFmtId="167" fontId="14" fillId="0" borderId="0" xfId="42" applyFont="1" applyAlignment="1" applyProtection="1">
      <alignment/>
      <protection hidden="1"/>
    </xf>
    <xf numFmtId="0" fontId="29" fillId="0" borderId="0" xfId="59" applyFont="1" applyProtection="1">
      <alignment/>
      <protection hidden="1"/>
    </xf>
    <xf numFmtId="167" fontId="29" fillId="0" borderId="0" xfId="42" applyFont="1" applyAlignment="1" applyProtection="1">
      <alignment/>
      <protection hidden="1"/>
    </xf>
    <xf numFmtId="170" fontId="29" fillId="0" borderId="0" xfId="42" applyNumberFormat="1" applyFont="1" applyAlignment="1" applyProtection="1">
      <alignment/>
      <protection hidden="1"/>
    </xf>
    <xf numFmtId="171" fontId="29" fillId="0" borderId="0" xfId="59" applyNumberFormat="1" applyFont="1" applyProtection="1">
      <alignment/>
      <protection hidden="1"/>
    </xf>
    <xf numFmtId="0" fontId="6" fillId="0" borderId="0" xfId="59" applyFont="1" applyAlignment="1" applyProtection="1">
      <alignment horizontal="center" wrapText="1"/>
      <protection hidden="1"/>
    </xf>
    <xf numFmtId="168" fontId="6" fillId="0" borderId="0" xfId="62" applyNumberFormat="1" applyFont="1" applyAlignment="1" applyProtection="1">
      <alignment horizontal="center" wrapText="1"/>
      <protection hidden="1"/>
    </xf>
    <xf numFmtId="167" fontId="5" fillId="0" borderId="0" xfId="42" applyFont="1" applyAlignment="1" applyProtection="1">
      <alignment horizontal="center" wrapText="1"/>
      <protection hidden="1"/>
    </xf>
    <xf numFmtId="170" fontId="5" fillId="0" borderId="0" xfId="42" applyNumberFormat="1" applyFont="1" applyAlignment="1" applyProtection="1">
      <alignment horizontal="center" wrapText="1"/>
      <protection hidden="1"/>
    </xf>
    <xf numFmtId="171" fontId="5" fillId="0" borderId="0" xfId="59" applyNumberFormat="1" applyFont="1" applyAlignment="1" applyProtection="1">
      <alignment horizontal="center" wrapText="1"/>
      <protection hidden="1"/>
    </xf>
    <xf numFmtId="0" fontId="14" fillId="0" borderId="0" xfId="59" applyFont="1" applyAlignment="1" applyProtection="1">
      <alignment horizontal="center"/>
      <protection hidden="1"/>
    </xf>
    <xf numFmtId="10" fontId="14" fillId="0" borderId="0" xfId="62" applyNumberFormat="1" applyFont="1" applyAlignment="1" applyProtection="1">
      <alignment/>
      <protection hidden="1"/>
    </xf>
    <xf numFmtId="167" fontId="29" fillId="0" borderId="0" xfId="59" applyNumberFormat="1" applyFont="1" applyProtection="1">
      <alignment/>
      <protection hidden="1"/>
    </xf>
    <xf numFmtId="0" fontId="14" fillId="0" borderId="0" xfId="0" applyFont="1" applyAlignment="1" applyProtection="1">
      <alignment horizontal="center"/>
      <protection hidden="1"/>
    </xf>
    <xf numFmtId="0" fontId="78" fillId="0" borderId="0" xfId="0" applyFont="1" applyAlignment="1" applyProtection="1">
      <alignment/>
      <protection hidden="1"/>
    </xf>
    <xf numFmtId="0" fontId="78" fillId="0" borderId="0" xfId="0" applyFont="1" applyAlignment="1" applyProtection="1">
      <alignment horizontal="right"/>
      <protection hidden="1"/>
    </xf>
    <xf numFmtId="0" fontId="30" fillId="0" borderId="0" xfId="0" applyFont="1" applyAlignment="1" applyProtection="1">
      <alignment/>
      <protection hidden="1"/>
    </xf>
    <xf numFmtId="0" fontId="6" fillId="34" borderId="10" xfId="57" applyFont="1" applyFill="1" applyBorder="1" applyAlignment="1" applyProtection="1">
      <alignment horizontal="center" wrapText="1"/>
      <protection hidden="1"/>
    </xf>
    <xf numFmtId="167" fontId="6" fillId="34" borderId="10" xfId="42" applyFont="1" applyFill="1" applyBorder="1" applyAlignment="1" applyProtection="1">
      <alignment horizontal="center" wrapText="1"/>
      <protection hidden="1"/>
    </xf>
    <xf numFmtId="10" fontId="6" fillId="34" borderId="10" xfId="62" applyNumberFormat="1" applyFont="1" applyFill="1" applyBorder="1" applyAlignment="1" applyProtection="1">
      <alignment horizontal="center" wrapText="1"/>
      <protection hidden="1"/>
    </xf>
    <xf numFmtId="0" fontId="8" fillId="0" borderId="0" xfId="0" applyFont="1" applyAlignment="1" applyProtection="1">
      <alignment horizontal="left"/>
      <protection hidden="1"/>
    </xf>
    <xf numFmtId="0" fontId="6" fillId="34" borderId="10" xfId="0" applyFont="1" applyFill="1" applyBorder="1" applyAlignment="1" applyProtection="1">
      <alignment horizontal="center" wrapText="1"/>
      <protection hidden="1"/>
    </xf>
    <xf numFmtId="167" fontId="6" fillId="34" borderId="10" xfId="42" applyFont="1" applyFill="1" applyBorder="1" applyAlignment="1" applyProtection="1">
      <alignment horizontal="center" wrapText="1"/>
      <protection hidden="1"/>
    </xf>
    <xf numFmtId="168" fontId="6" fillId="34" borderId="10" xfId="62" applyNumberFormat="1" applyFont="1" applyFill="1" applyBorder="1" applyAlignment="1" applyProtection="1">
      <alignment horizontal="center" wrapText="1"/>
      <protection hidden="1"/>
    </xf>
    <xf numFmtId="0" fontId="78" fillId="35" borderId="10" xfId="0" applyFont="1" applyFill="1" applyBorder="1" applyAlignment="1" applyProtection="1">
      <alignment/>
      <protection hidden="1"/>
    </xf>
    <xf numFmtId="0" fontId="8" fillId="0" borderId="0" xfId="0" applyFont="1" applyAlignment="1" applyProtection="1">
      <alignment/>
      <protection hidden="1"/>
    </xf>
    <xf numFmtId="10" fontId="14" fillId="33" borderId="10" xfId="0" applyNumberFormat="1" applyFont="1" applyFill="1" applyBorder="1" applyAlignment="1" applyProtection="1">
      <alignment/>
      <protection locked="0"/>
    </xf>
    <xf numFmtId="167" fontId="14" fillId="36" borderId="0" xfId="0" applyNumberFormat="1" applyFont="1" applyFill="1" applyAlignment="1" applyProtection="1">
      <alignment/>
      <protection hidden="1"/>
    </xf>
    <xf numFmtId="0" fontId="12" fillId="0" borderId="0" xfId="53" applyFont="1" applyAlignment="1" applyProtection="1">
      <alignment horizontal="right" wrapText="1"/>
      <protection hidden="1"/>
    </xf>
    <xf numFmtId="0" fontId="14" fillId="0" borderId="0" xfId="0" applyFont="1" applyAlignment="1" applyProtection="1">
      <alignment wrapText="1"/>
      <protection hidden="1"/>
    </xf>
    <xf numFmtId="0" fontId="13" fillId="0" borderId="0" xfId="0" applyFont="1" applyAlignment="1" applyProtection="1">
      <alignment wrapText="1"/>
      <protection hidden="1"/>
    </xf>
    <xf numFmtId="173" fontId="14" fillId="33" borderId="10" xfId="42" applyNumberFormat="1" applyFont="1" applyFill="1" applyBorder="1" applyAlignment="1" applyProtection="1">
      <alignment/>
      <protection locked="0"/>
    </xf>
    <xf numFmtId="173" fontId="14" fillId="37" borderId="10" xfId="42" applyNumberFormat="1" applyFont="1" applyFill="1" applyBorder="1" applyAlignment="1" applyProtection="1">
      <alignment/>
      <protection locked="0"/>
    </xf>
    <xf numFmtId="173" fontId="14" fillId="36" borderId="0" xfId="42" applyNumberFormat="1" applyFont="1" applyFill="1" applyAlignment="1" applyProtection="1">
      <alignment/>
      <protection hidden="1"/>
    </xf>
    <xf numFmtId="173" fontId="14" fillId="0" borderId="0" xfId="42" applyNumberFormat="1" applyFont="1" applyAlignment="1" applyProtection="1">
      <alignment/>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rmal_Max Bond Amount" xfId="58"/>
    <cellStyle name="Normal_Web Site Outlay"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FF"/>
                </a:solidFill>
                <a:latin typeface="Arial"/>
                <a:ea typeface="Arial"/>
                <a:cs typeface="Arial"/>
              </a:rPr>
              <a:t>Increased Instalment - Interest Saving</a:t>
            </a:r>
          </a:p>
        </c:rich>
      </c:tx>
      <c:layout>
        <c:manualLayout>
          <c:xMode val="factor"/>
          <c:yMode val="factor"/>
          <c:x val="0.0065"/>
          <c:y val="-0.0045"/>
        </c:manualLayout>
      </c:layout>
      <c:spPr>
        <a:noFill/>
        <a:ln>
          <a:noFill/>
        </a:ln>
      </c:spPr>
    </c:title>
    <c:plotArea>
      <c:layout>
        <c:manualLayout>
          <c:xMode val="edge"/>
          <c:yMode val="edge"/>
          <c:x val="0.02875"/>
          <c:y val="0.1205"/>
          <c:w val="0.954"/>
          <c:h val="0.8485"/>
        </c:manualLayout>
      </c:layout>
      <c:areaChart>
        <c:grouping val="standard"/>
        <c:varyColors val="0"/>
        <c:ser>
          <c:idx val="1"/>
          <c:order val="0"/>
          <c:tx>
            <c:strRef>
              <c:f>AnnualAmort!$I$3</c:f>
              <c:strCache>
                <c:ptCount val="1"/>
                <c:pt idx="0">
                  <c:v>Amortization</c:v>
                </c:pt>
              </c:strCache>
            </c:strRef>
          </c:tx>
          <c:spPr>
            <a:solidFill>
              <a:srgbClr val="006411"/>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val>
            <c:numRef>
              <c:f>AnnualAmort!$I$4:$I$33</c:f>
              <c:numCache>
                <c:ptCount val="30"/>
                <c:pt idx="0">
                  <c:v>97360.68223287356</c:v>
                </c:pt>
                <c:pt idx="1">
                  <c:v>188581.06162968636</c:v>
                </c:pt>
                <c:pt idx="2">
                  <c:v>273018.16824545595</c:v>
                </c:pt>
                <c:pt idx="3">
                  <c:v>349961.7047799883</c:v>
                </c:pt>
                <c:pt idx="4">
                  <c:v>418626.99652399065</c:v>
                </c:pt>
                <c:pt idx="5">
                  <c:v>478147.2030724167</c:v>
                </c:pt>
                <c:pt idx="6">
                  <c:v>527564.7145024256</c:v>
                </c:pt>
                <c:pt idx="7">
                  <c:v>565821.6466187439</c:v>
                </c:pt>
                <c:pt idx="8">
                  <c:v>591749.3409270128</c:v>
                </c:pt>
                <c:pt idx="9">
                  <c:v>604056.7651171386</c:v>
                </c:pt>
                <c:pt idx="10">
                  <c:v>604890.1645013005</c:v>
                </c:pt>
                <c:pt idx="11">
                  <c:v>604890.1645013005</c:v>
                </c:pt>
                <c:pt idx="12">
                  <c:v>604890.1645013005</c:v>
                </c:pt>
                <c:pt idx="13">
                  <c:v>604890.1645013005</c:v>
                </c:pt>
                <c:pt idx="14">
                  <c:v>604890.1645013005</c:v>
                </c:pt>
                <c:pt idx="15">
                  <c:v>604890.1645013005</c:v>
                </c:pt>
                <c:pt idx="16">
                  <c:v>604890.1645013005</c:v>
                </c:pt>
                <c:pt idx="17">
                  <c:v>604890.1645013005</c:v>
                </c:pt>
                <c:pt idx="18">
                  <c:v>604890.1645013005</c:v>
                </c:pt>
                <c:pt idx="19">
                  <c:v>604890.1645013005</c:v>
                </c:pt>
                <c:pt idx="20">
                  <c:v>604890.1645013005</c:v>
                </c:pt>
                <c:pt idx="21">
                  <c:v>604890.1645013005</c:v>
                </c:pt>
                <c:pt idx="22">
                  <c:v>604890.1645013005</c:v>
                </c:pt>
                <c:pt idx="23">
                  <c:v>604890.1645013005</c:v>
                </c:pt>
                <c:pt idx="24">
                  <c:v>604890.1645013005</c:v>
                </c:pt>
                <c:pt idx="25">
                  <c:v>604890.1645013005</c:v>
                </c:pt>
                <c:pt idx="26">
                  <c:v>604890.1645013005</c:v>
                </c:pt>
                <c:pt idx="27">
                  <c:v>604890.1645013005</c:v>
                </c:pt>
                <c:pt idx="28">
                  <c:v>604890.1645013005</c:v>
                </c:pt>
                <c:pt idx="29">
                  <c:v>604890.1645013005</c:v>
                </c:pt>
              </c:numCache>
            </c:numRef>
          </c:val>
        </c:ser>
        <c:ser>
          <c:idx val="2"/>
          <c:order val="1"/>
          <c:tx>
            <c:strRef>
              <c:f>AnnualAmort!$J$3</c:f>
              <c:strCache>
                <c:ptCount val="1"/>
                <c:pt idx="0">
                  <c:v>Increased Instalment</c:v>
                </c:pt>
              </c:strCache>
            </c:strRef>
          </c:tx>
          <c:spPr>
            <a:solidFill>
              <a:srgbClr val="FFCC00"/>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val>
            <c:numRef>
              <c:f>AnnualAmort!$J$4:$J$33</c:f>
              <c:numCache>
                <c:ptCount val="30"/>
                <c:pt idx="0">
                  <c:v>97360.68223287356</c:v>
                </c:pt>
                <c:pt idx="1">
                  <c:v>188581.06162968633</c:v>
                </c:pt>
                <c:pt idx="2">
                  <c:v>273018.16824545595</c:v>
                </c:pt>
                <c:pt idx="3">
                  <c:v>349961.7047799882</c:v>
                </c:pt>
                <c:pt idx="4">
                  <c:v>418626.9965239907</c:v>
                </c:pt>
                <c:pt idx="5">
                  <c:v>478147.2030724167</c:v>
                </c:pt>
                <c:pt idx="6">
                  <c:v>527564.7145024257</c:v>
                </c:pt>
                <c:pt idx="7">
                  <c:v>565821.6466187438</c:v>
                </c:pt>
                <c:pt idx="8">
                  <c:v>591749.3409270127</c:v>
                </c:pt>
                <c:pt idx="9">
                  <c:v>604056.7651171384</c:v>
                </c:pt>
                <c:pt idx="10">
                  <c:v>604890.1645013003</c:v>
                </c:pt>
                <c:pt idx="11">
                  <c:v>604890.1645013003</c:v>
                </c:pt>
                <c:pt idx="12">
                  <c:v>604890.1645013003</c:v>
                </c:pt>
                <c:pt idx="13">
                  <c:v>604890.1645013003</c:v>
                </c:pt>
                <c:pt idx="14">
                  <c:v>604890.1645013003</c:v>
                </c:pt>
                <c:pt idx="15">
                  <c:v>604890.1645013003</c:v>
                </c:pt>
                <c:pt idx="16">
                  <c:v>604890.1645013003</c:v>
                </c:pt>
                <c:pt idx="17">
                  <c:v>604890.1645013003</c:v>
                </c:pt>
                <c:pt idx="18">
                  <c:v>604890.1645013003</c:v>
                </c:pt>
                <c:pt idx="19">
                  <c:v>604890.1645013003</c:v>
                </c:pt>
                <c:pt idx="20">
                  <c:v>604890.1645013003</c:v>
                </c:pt>
                <c:pt idx="21">
                  <c:v>604890.1645013003</c:v>
                </c:pt>
                <c:pt idx="22">
                  <c:v>604890.1645013003</c:v>
                </c:pt>
                <c:pt idx="23">
                  <c:v>604890.1645013003</c:v>
                </c:pt>
                <c:pt idx="24">
                  <c:v>604890.1645013003</c:v>
                </c:pt>
                <c:pt idx="25">
                  <c:v>604890.1645013003</c:v>
                </c:pt>
                <c:pt idx="26">
                  <c:v>604890.1645013003</c:v>
                </c:pt>
                <c:pt idx="27">
                  <c:v>604890.1645013003</c:v>
                </c:pt>
                <c:pt idx="28">
                  <c:v>604890.1645013003</c:v>
                </c:pt>
                <c:pt idx="29">
                  <c:v>604890.1645013003</c:v>
                </c:pt>
              </c:numCache>
            </c:numRef>
          </c:val>
        </c:ser>
        <c:axId val="32177557"/>
        <c:axId val="21162558"/>
      </c:areaChart>
      <c:catAx>
        <c:axId val="32177557"/>
        <c:scaling>
          <c:orientation val="minMax"/>
        </c:scaling>
        <c:axPos val="b"/>
        <c:title>
          <c:tx>
            <c:rich>
              <a:bodyPr vert="horz" rot="0" anchor="ctr"/>
              <a:lstStyle/>
              <a:p>
                <a:pPr algn="ctr">
                  <a:defRPr/>
                </a:pPr>
                <a:r>
                  <a:rPr lang="en-US" cap="none" sz="900" b="1" i="0" u="none" baseline="0">
                    <a:solidFill>
                      <a:srgbClr val="FFFFFF"/>
                    </a:solidFill>
                    <a:latin typeface="Arial"/>
                    <a:ea typeface="Arial"/>
                    <a:cs typeface="Arial"/>
                  </a:rPr>
                  <a:t>Years</a:t>
                </a:r>
              </a:p>
            </c:rich>
          </c:tx>
          <c:layout>
            <c:manualLayout>
              <c:xMode val="factor"/>
              <c:yMode val="factor"/>
              <c:x val="0.00775"/>
              <c:y val="-0.13975"/>
            </c:manualLayout>
          </c:layout>
          <c:overlay val="0"/>
          <c:spPr>
            <a:noFill/>
            <a:ln>
              <a:noFill/>
            </a:ln>
          </c:spPr>
        </c:title>
        <c:delete val="0"/>
        <c:numFmt formatCode="General" sourceLinked="1"/>
        <c:majorTickMark val="out"/>
        <c:minorTickMark val="none"/>
        <c:tickLblPos val="nextTo"/>
        <c:spPr>
          <a:ln w="3175">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21162558"/>
        <c:crosses val="autoZero"/>
        <c:auto val="1"/>
        <c:lblOffset val="100"/>
        <c:tickLblSkip val="3"/>
        <c:noMultiLvlLbl val="0"/>
      </c:catAx>
      <c:valAx>
        <c:axId val="21162558"/>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32177557"/>
        <c:crossesAt val="1"/>
        <c:crossBetween val="midCat"/>
        <c:dispUnits/>
      </c:valAx>
      <c:spPr>
        <a:solidFill>
          <a:srgbClr val="FFFFFF"/>
        </a:solidFill>
        <a:ln w="12700">
          <a:solidFill>
            <a:srgbClr val="FFFFFF"/>
          </a:solidFill>
        </a:ln>
      </c:spPr>
    </c:plotArea>
    <c:legend>
      <c:legendPos val="r"/>
      <c:layout>
        <c:manualLayout>
          <c:xMode val="edge"/>
          <c:yMode val="edge"/>
          <c:x val="0.7685"/>
          <c:y val="0.05325"/>
          <c:w val="0.20775"/>
          <c:h val="0.17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525" b="0" i="0" u="none" baseline="0">
              <a:solidFill>
                <a:srgbClr val="000000"/>
              </a:solidFill>
              <a:latin typeface="Arial"/>
              <a:ea typeface="Arial"/>
              <a:cs typeface="Arial"/>
            </a:defRPr>
          </a:pPr>
        </a:p>
      </c:txPr>
    </c:legend>
    <c:plotVisOnly val="1"/>
    <c:dispBlanksAs val="zero"/>
    <c:showDLblsOverMax val="0"/>
  </c:chart>
  <c:spPr>
    <a:blipFill>
      <a:blip r:embed=""/>
      <a:srcRect/>
      <a:tile sx="100000" sy="100000" flip="none" algn="tl"/>
    </a:blip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2"/>
        </c:manualLayout>
      </c:layout>
      <c:spPr>
        <a:noFill/>
        <a:ln>
          <a:noFill/>
        </a:ln>
      </c:spPr>
      <c:txPr>
        <a:bodyPr vert="horz" rot="0"/>
        <a:lstStyle/>
        <a:p>
          <a:pPr>
            <a:defRPr lang="en-US" cap="none" sz="1100" b="1" i="0" u="none" baseline="0">
              <a:solidFill>
                <a:srgbClr val="FFFFFF"/>
              </a:solidFill>
              <a:latin typeface="Arial"/>
              <a:ea typeface="Arial"/>
              <a:cs typeface="Arial"/>
            </a:defRPr>
          </a:pPr>
        </a:p>
      </c:txPr>
    </c:title>
    <c:plotArea>
      <c:layout>
        <c:manualLayout>
          <c:xMode val="edge"/>
          <c:yMode val="edge"/>
          <c:x val="0.02875"/>
          <c:y val="0.07825"/>
          <c:w val="0.96"/>
          <c:h val="0.89275"/>
        </c:manualLayout>
      </c:layout>
      <c:areaChart>
        <c:grouping val="standard"/>
        <c:varyColors val="0"/>
        <c:ser>
          <c:idx val="1"/>
          <c:order val="0"/>
          <c:tx>
            <c:strRef>
              <c:f>AnnualAmort!$K$3</c:f>
              <c:strCache>
                <c:ptCount val="1"/>
                <c:pt idx="0">
                  <c:v>Capital Repayment</c:v>
                </c:pt>
              </c:strCache>
            </c:strRef>
          </c:tx>
          <c:spPr>
            <a:solidFill>
              <a:srgbClr val="006411"/>
            </a:solidFill>
            <a:ln w="12700">
              <a:solidFill>
                <a:srgbClr val="FFFFFF"/>
              </a:solidFill>
            </a:ln>
          </c:spPr>
          <c:extLst>
            <c:ext xmlns:c14="http://schemas.microsoft.com/office/drawing/2007/8/2/chart" uri="{6F2FDCE9-48DA-4B69-8628-5D25D57E5C99}">
              <c14:invertSolidFillFmt>
                <c14:spPr>
                  <a:solidFill>
                    <a:srgbClr val="FFFFFF"/>
                  </a:solidFill>
                </c14:spPr>
              </c14:invertSolidFillFmt>
            </c:ext>
          </c:extLst>
          <c:val>
            <c:numRef>
              <c:f>AnnualAmort!$K$4:$K$33</c:f>
              <c:numCache>
                <c:ptCount val="30"/>
                <c:pt idx="0">
                  <c:v>58639.31776712643</c:v>
                </c:pt>
                <c:pt idx="1">
                  <c:v>123418.93837031363</c:v>
                </c:pt>
                <c:pt idx="2">
                  <c:v>194981.83175454405</c:v>
                </c:pt>
                <c:pt idx="3">
                  <c:v>274038.2952200117</c:v>
                </c:pt>
                <c:pt idx="4">
                  <c:v>361373.00347600935</c:v>
                </c:pt>
                <c:pt idx="5">
                  <c:v>457852.7969275833</c:v>
                </c:pt>
                <c:pt idx="6">
                  <c:v>564435.2854975744</c:v>
                </c:pt>
                <c:pt idx="7">
                  <c:v>682178.3533812561</c:v>
                </c:pt>
                <c:pt idx="8">
                  <c:v>812250.659072987</c:v>
                </c:pt>
                <c:pt idx="9">
                  <c:v>955943.2348828613</c:v>
                </c:pt>
                <c:pt idx="10">
                  <c:v>1000000.0000000002</c:v>
                </c:pt>
                <c:pt idx="11">
                  <c:v>1000000.0000000002</c:v>
                </c:pt>
                <c:pt idx="12">
                  <c:v>1000000.0000000002</c:v>
                </c:pt>
                <c:pt idx="13">
                  <c:v>1000000.0000000002</c:v>
                </c:pt>
                <c:pt idx="14">
                  <c:v>1000000.0000000002</c:v>
                </c:pt>
                <c:pt idx="15">
                  <c:v>1000000.0000000002</c:v>
                </c:pt>
                <c:pt idx="16">
                  <c:v>1000000.0000000002</c:v>
                </c:pt>
                <c:pt idx="17">
                  <c:v>1000000.0000000002</c:v>
                </c:pt>
                <c:pt idx="18">
                  <c:v>1000000.0000000002</c:v>
                </c:pt>
                <c:pt idx="19">
                  <c:v>1000000.0000000002</c:v>
                </c:pt>
                <c:pt idx="20">
                  <c:v>1000000.0000000002</c:v>
                </c:pt>
                <c:pt idx="21">
                  <c:v>1000000.0000000002</c:v>
                </c:pt>
                <c:pt idx="22">
                  <c:v>1000000.0000000002</c:v>
                </c:pt>
                <c:pt idx="23">
                  <c:v>1000000.0000000002</c:v>
                </c:pt>
                <c:pt idx="24">
                  <c:v>1000000.0000000002</c:v>
                </c:pt>
                <c:pt idx="25">
                  <c:v>1000000.0000000002</c:v>
                </c:pt>
                <c:pt idx="26">
                  <c:v>1000000.0000000002</c:v>
                </c:pt>
                <c:pt idx="27">
                  <c:v>1000000.0000000002</c:v>
                </c:pt>
                <c:pt idx="28">
                  <c:v>1000000.0000000002</c:v>
                </c:pt>
                <c:pt idx="29">
                  <c:v>1000000.0000000002</c:v>
                </c:pt>
              </c:numCache>
            </c:numRef>
          </c:val>
        </c:ser>
        <c:axId val="56245295"/>
        <c:axId val="36445608"/>
      </c:areaChart>
      <c:catAx>
        <c:axId val="56245295"/>
        <c:scaling>
          <c:orientation val="minMax"/>
        </c:scaling>
        <c:axPos val="b"/>
        <c:title>
          <c:tx>
            <c:rich>
              <a:bodyPr vert="horz" rot="0" anchor="ctr"/>
              <a:lstStyle/>
              <a:p>
                <a:pPr algn="ctr">
                  <a:defRPr/>
                </a:pPr>
                <a:r>
                  <a:rPr lang="en-US" cap="none" sz="900" b="1" i="0" u="none" baseline="0">
                    <a:solidFill>
                      <a:srgbClr val="FFFFFF"/>
                    </a:solidFill>
                    <a:latin typeface="Arial"/>
                    <a:ea typeface="Arial"/>
                    <a:cs typeface="Arial"/>
                  </a:rPr>
                  <a:t>Years</a:t>
                </a:r>
              </a:p>
            </c:rich>
          </c:tx>
          <c:layout>
            <c:manualLayout>
              <c:xMode val="factor"/>
              <c:yMode val="factor"/>
              <c:x val="0.0055"/>
              <c:y val="-0.13675"/>
            </c:manualLayout>
          </c:layout>
          <c:overlay val="0"/>
          <c:spPr>
            <a:noFill/>
            <a:ln>
              <a:noFill/>
            </a:ln>
          </c:spPr>
        </c:title>
        <c:delete val="0"/>
        <c:numFmt formatCode="General" sourceLinked="1"/>
        <c:majorTickMark val="out"/>
        <c:minorTickMark val="none"/>
        <c:tickLblPos val="nextTo"/>
        <c:spPr>
          <a:ln w="12700">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36445608"/>
        <c:crosses val="autoZero"/>
        <c:auto val="1"/>
        <c:lblOffset val="100"/>
        <c:tickLblSkip val="3"/>
        <c:noMultiLvlLbl val="0"/>
      </c:catAx>
      <c:valAx>
        <c:axId val="36445608"/>
        <c:scaling>
          <c:orientation val="minMax"/>
        </c:scaling>
        <c:axPos val="l"/>
        <c:majorGridlines>
          <c:spPr>
            <a:ln w="3175">
              <a:solidFill>
                <a:srgbClr val="C0C0C0"/>
              </a:solidFill>
            </a:ln>
          </c:spPr>
        </c:majorGridlines>
        <c:delete val="0"/>
        <c:numFmt formatCode="#,##0_ ;\-#,##0\ " sourceLinked="0"/>
        <c:majorTickMark val="out"/>
        <c:minorTickMark val="none"/>
        <c:tickLblPos val="nextTo"/>
        <c:spPr>
          <a:ln w="12700">
            <a:solidFill>
              <a:srgbClr val="FFFFFF"/>
            </a:solidFill>
          </a:ln>
        </c:spPr>
        <c:txPr>
          <a:bodyPr vert="horz" rot="0"/>
          <a:lstStyle/>
          <a:p>
            <a:pPr>
              <a:defRPr lang="en-US" cap="none" sz="900" b="1" i="0" u="none" baseline="0">
                <a:solidFill>
                  <a:srgbClr val="FFFFFF"/>
                </a:solidFill>
                <a:latin typeface="Arial"/>
                <a:ea typeface="Arial"/>
                <a:cs typeface="Arial"/>
              </a:defRPr>
            </a:pPr>
          </a:p>
        </c:txPr>
        <c:crossAx val="56245295"/>
        <c:crossesAt val="1"/>
        <c:crossBetween val="midCat"/>
        <c:dispUnits/>
      </c:valAx>
      <c:spPr>
        <a:solidFill>
          <a:srgbClr val="FFFFFF"/>
        </a:solidFill>
        <a:ln w="12700">
          <a:solidFill>
            <a:srgbClr val="FFFFFF"/>
          </a:solidFill>
        </a:ln>
      </c:spPr>
    </c:plotArea>
    <c:legend>
      <c:legendPos val="r"/>
      <c:layout>
        <c:manualLayout>
          <c:xMode val="edge"/>
          <c:yMode val="edge"/>
          <c:x val="0.73225"/>
          <c:y val="0.1045"/>
          <c:w val="0.19875"/>
          <c:h val="0.072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525" b="0" i="0" u="none" baseline="0">
              <a:solidFill>
                <a:srgbClr val="000000"/>
              </a:solidFill>
              <a:latin typeface="Arial"/>
              <a:ea typeface="Arial"/>
              <a:cs typeface="Arial"/>
            </a:defRPr>
          </a:pPr>
        </a:p>
      </c:txPr>
    </c:legend>
    <c:plotVisOnly val="1"/>
    <c:dispBlanksAs val="zero"/>
    <c:showDLblsOverMax val="0"/>
  </c:chart>
  <c:spPr>
    <a:blipFill>
      <a:blip r:embed=""/>
      <a:srcRect/>
      <a:tile sx="100000" sy="100000" flip="none" algn="tl"/>
    </a:blip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excel-skills.com/excel_templates_buy.php" TargetMode="External" /><Relationship Id="rId2" Type="http://schemas.openxmlformats.org/officeDocument/2006/relationships/hyperlink" Target="https://www.excel-skills.com/membership.php" TargetMode="External"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66675</xdr:rowOff>
    </xdr:from>
    <xdr:to>
      <xdr:col>7</xdr:col>
      <xdr:colOff>923925</xdr:colOff>
      <xdr:row>21</xdr:row>
      <xdr:rowOff>28575</xdr:rowOff>
    </xdr:to>
    <xdr:sp>
      <xdr:nvSpPr>
        <xdr:cNvPr id="1" name="Rectangle 6"/>
        <xdr:cNvSpPr>
          <a:spLocks/>
        </xdr:cNvSpPr>
      </xdr:nvSpPr>
      <xdr:spPr>
        <a:xfrm>
          <a:off x="47625" y="66675"/>
          <a:ext cx="8210550" cy="3362325"/>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just">
            <a:defRPr/>
          </a:pPr>
          <a:r>
            <a:rPr lang="en-US" cap="none" sz="1200" b="1" i="0" u="none" baseline="0">
              <a:solidFill>
                <a:srgbClr val="FFFF99"/>
              </a:solidFill>
              <a:latin typeface="Arial"/>
              <a:ea typeface="Arial"/>
              <a:cs typeface="Arial"/>
            </a:rPr>
            <a:t>Excel Skills | Bond Calculator Template</a:t>
          </a:r>
          <a:r>
            <a:rPr lang="en-US" cap="none" sz="1400" b="1"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Bond calculators are sometimes also referred to as home loan calculators or mortgage calculators. The aim of this free Excel template is to enable users to calculate monthly bond repayments, determine the affordability of a home loan, calculate the interest savings that result from increased bond instalments and measure the sensitivity of bond repayments to changes in interest rates. After using this template, you will also gain a better understanding of home loan amortization and specifically the timing of capital repayments on a bond.
</a:t>
          </a:r>
          <a:r>
            <a:rPr lang="en-US" cap="none" sz="1050" b="1" i="0" u="none" baseline="0">
              <a:solidFill>
                <a:srgbClr val="FFFFFF"/>
              </a:solidFill>
              <a:latin typeface="Arial"/>
              <a:ea typeface="Arial"/>
              <a:cs typeface="Arial"/>
            </a:rPr>
            <a:t>About our unique templates
</a:t>
          </a:r>
          <a:r>
            <a:rPr lang="en-US" cap="none" sz="1000" b="0" i="0" u="none" baseline="0">
              <a:solidFill>
                <a:srgbClr val="FFFFFF"/>
              </a:solidFill>
              <a:latin typeface="Arial"/>
              <a:ea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
</a:t>
          </a:r>
          <a:r>
            <a:rPr lang="en-US" cap="none" sz="1050" b="1" i="0" u="none" baseline="0">
              <a:solidFill>
                <a:srgbClr val="FFFFFF"/>
              </a:solidFill>
              <a:latin typeface="Arial"/>
              <a:ea typeface="Arial"/>
              <a:cs typeface="Arial"/>
            </a:rPr>
            <a:t>About our other templates</a:t>
          </a:r>
          <a:r>
            <a:rPr lang="en-US" cap="none" sz="1100" b="1" i="0" u="none" baseline="0">
              <a:solidFill>
                <a:srgbClr val="FFFFFF"/>
              </a:solidFill>
              <a:latin typeface="Arial"/>
              <a:ea typeface="Arial"/>
              <a:cs typeface="Arial"/>
            </a:rPr>
            <a:t>
</a:t>
          </a:r>
          <a:r>
            <a:rPr lang="en-US" cap="none" sz="1000" b="0" i="0" u="none" baseline="0">
              <a:solidFill>
                <a:srgbClr val="FFFFCC"/>
              </a:solidFill>
              <a:latin typeface="Arial"/>
              <a:ea typeface="Arial"/>
              <a:cs typeface="Arial"/>
            </a:rPr>
            <a:t>This free template forms part of our unique range of innovative Excel templates which features accounting in Excel, cash flow projections, business valuations &amp; loans, costing &amp; inventory, personal finance, sales and a lot more. Visit the Templates pages of our website to view samples of all our templates or register for a full membership to purchase all our unique templates.</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Our full membership includes:</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Access to all 40+ of our unique Excel templates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365 days access to our 300+ Excel video tutorials</a:t>
          </a:r>
        </a:p>
      </xdr:txBody>
    </xdr:sp>
    <xdr:clientData fPrintsWithSheet="0"/>
  </xdr:twoCellAnchor>
  <xdr:twoCellAnchor editAs="absolute">
    <xdr:from>
      <xdr:col>3</xdr:col>
      <xdr:colOff>114300</xdr:colOff>
      <xdr:row>17</xdr:row>
      <xdr:rowOff>85725</xdr:rowOff>
    </xdr:from>
    <xdr:to>
      <xdr:col>5</xdr:col>
      <xdr:colOff>352425</xdr:colOff>
      <xdr:row>20</xdr:row>
      <xdr:rowOff>28575</xdr:rowOff>
    </xdr:to>
    <xdr:sp>
      <xdr:nvSpPr>
        <xdr:cNvPr id="2" name="Rectangle 7">
          <a:hlinkClick r:id="rId1"/>
        </xdr:cNvPr>
        <xdr:cNvSpPr>
          <a:spLocks/>
        </xdr:cNvSpPr>
      </xdr:nvSpPr>
      <xdr:spPr>
        <a:xfrm>
          <a:off x="3257550" y="2838450"/>
          <a:ext cx="2333625"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View a list of all our templates</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571500</xdr:colOff>
      <xdr:row>17</xdr:row>
      <xdr:rowOff>85725</xdr:rowOff>
    </xdr:from>
    <xdr:to>
      <xdr:col>7</xdr:col>
      <xdr:colOff>809625</xdr:colOff>
      <xdr:row>20</xdr:row>
      <xdr:rowOff>28575</xdr:rowOff>
    </xdr:to>
    <xdr:sp>
      <xdr:nvSpPr>
        <xdr:cNvPr id="3" name="Rectangle 8">
          <a:hlinkClick r:id="rId2"/>
        </xdr:cNvPr>
        <xdr:cNvSpPr>
          <a:spLocks/>
        </xdr:cNvSpPr>
      </xdr:nvSpPr>
      <xdr:spPr>
        <a:xfrm>
          <a:off x="5810250" y="2838450"/>
          <a:ext cx="2333625" cy="428625"/>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Register for a full membership</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0</xdr:col>
      <xdr:colOff>466725</xdr:colOff>
      <xdr:row>22</xdr:row>
      <xdr:rowOff>0</xdr:rowOff>
    </xdr:from>
    <xdr:to>
      <xdr:col>7</xdr:col>
      <xdr:colOff>400050</xdr:colOff>
      <xdr:row>25</xdr:row>
      <xdr:rowOff>85725</xdr:rowOff>
    </xdr:to>
    <xdr:pic>
      <xdr:nvPicPr>
        <xdr:cNvPr id="4" name="Picture 4"/>
        <xdr:cNvPicPr preferRelativeResize="1">
          <a:picLocks noChangeAspect="1"/>
        </xdr:cNvPicPr>
      </xdr:nvPicPr>
      <xdr:blipFill>
        <a:blip r:embed="rId3"/>
        <a:stretch>
          <a:fillRect/>
        </a:stretch>
      </xdr:blipFill>
      <xdr:spPr>
        <a:xfrm>
          <a:off x="466725" y="3562350"/>
          <a:ext cx="7267575" cy="5715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16</xdr:row>
      <xdr:rowOff>9525</xdr:rowOff>
    </xdr:from>
    <xdr:to>
      <xdr:col>8</xdr:col>
      <xdr:colOff>57150</xdr:colOff>
      <xdr:row>36</xdr:row>
      <xdr:rowOff>0</xdr:rowOff>
    </xdr:to>
    <xdr:graphicFrame>
      <xdr:nvGraphicFramePr>
        <xdr:cNvPr id="1" name="Chart 1"/>
        <xdr:cNvGraphicFramePr/>
      </xdr:nvGraphicFramePr>
      <xdr:xfrm>
        <a:off x="6562725" y="3657600"/>
        <a:ext cx="5219700" cy="2943225"/>
      </xdr:xfrm>
      <a:graphic>
        <a:graphicData uri="http://schemas.openxmlformats.org/drawingml/2006/chart">
          <c:chart xmlns:c="http://schemas.openxmlformats.org/drawingml/2006/chart" r:id="rId1"/>
        </a:graphicData>
      </a:graphic>
    </xdr:graphicFrame>
    <xdr:clientData/>
  </xdr:twoCellAnchor>
  <xdr:twoCellAnchor>
    <xdr:from>
      <xdr:col>3</xdr:col>
      <xdr:colOff>85725</xdr:colOff>
      <xdr:row>0</xdr:row>
      <xdr:rowOff>66675</xdr:rowOff>
    </xdr:from>
    <xdr:to>
      <xdr:col>8</xdr:col>
      <xdr:colOff>76200</xdr:colOff>
      <xdr:row>15</xdr:row>
      <xdr:rowOff>9525</xdr:rowOff>
    </xdr:to>
    <xdr:graphicFrame>
      <xdr:nvGraphicFramePr>
        <xdr:cNvPr id="2" name="Chart 2"/>
        <xdr:cNvGraphicFramePr/>
      </xdr:nvGraphicFramePr>
      <xdr:xfrm>
        <a:off x="6572250" y="66675"/>
        <a:ext cx="5229225" cy="32670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11</xdr:row>
      <xdr:rowOff>66675</xdr:rowOff>
    </xdr:from>
    <xdr:to>
      <xdr:col>11</xdr:col>
      <xdr:colOff>161925</xdr:colOff>
      <xdr:row>20</xdr:row>
      <xdr:rowOff>152400</xdr:rowOff>
    </xdr:to>
    <xdr:sp>
      <xdr:nvSpPr>
        <xdr:cNvPr id="1" name="Rectangle 1"/>
        <xdr:cNvSpPr>
          <a:spLocks/>
        </xdr:cNvSpPr>
      </xdr:nvSpPr>
      <xdr:spPr>
        <a:xfrm>
          <a:off x="8429625" y="2171700"/>
          <a:ext cx="4076700" cy="1800225"/>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2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Simply enter the appropriate values in the yellow input cells in order to calculate your monthly net disposable income. All input values need to be entered as positive values and guidance on the user input that is required in all the input cells can be found from row 38 downwards.</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kills.com/"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8.8515625" defaultRowHeight="12.75"/>
  <cols>
    <col min="1" max="18" width="15.7109375" style="0" customWidth="1"/>
  </cols>
  <sheetData/>
  <sheetProtection password="8FD9" sheet="1"/>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41"/>
  <sheetViews>
    <sheetView zoomScale="95" zoomScaleNormal="95" zoomScalePageLayoutView="0" workbookViewId="0" topLeftCell="A1">
      <pane ySplit="3" topLeftCell="A24" activePane="bottomLeft" state="frozen"/>
      <selection pane="topLeft" activeCell="A1" sqref="A1"/>
      <selection pane="bottomLeft" activeCell="A1" sqref="A1"/>
    </sheetView>
  </sheetViews>
  <sheetFormatPr defaultColWidth="11.57421875" defaultRowHeight="13.5" customHeight="1"/>
  <cols>
    <col min="1" max="1" width="106.28125" style="2" customWidth="1"/>
    <col min="2" max="35" width="25.7109375" style="2" customWidth="1"/>
    <col min="36" max="16384" width="11.421875" style="2" customWidth="1"/>
  </cols>
  <sheetData>
    <row r="1" ht="18" customHeight="1">
      <c r="A1" s="9" t="s">
        <v>145</v>
      </c>
    </row>
    <row r="2" ht="15.75">
      <c r="A2" s="10" t="s">
        <v>146</v>
      </c>
    </row>
    <row r="3" ht="13.5" customHeight="1">
      <c r="A3" s="11" t="s">
        <v>1</v>
      </c>
    </row>
    <row r="4" ht="13.5" customHeight="1">
      <c r="A4" s="12"/>
    </row>
    <row r="5" ht="63.75" customHeight="1">
      <c r="A5" s="1" t="s">
        <v>192</v>
      </c>
    </row>
    <row r="7" ht="13.5">
      <c r="A7" s="2" t="s">
        <v>193</v>
      </c>
    </row>
    <row r="8" s="1" customFormat="1" ht="13.5" customHeight="1">
      <c r="A8" s="2"/>
    </row>
    <row r="9" s="1" customFormat="1" ht="15">
      <c r="A9" s="3" t="s">
        <v>137</v>
      </c>
    </row>
    <row r="10" s="1" customFormat="1" ht="13.5" customHeight="1">
      <c r="A10" s="3"/>
    </row>
    <row r="11" s="1" customFormat="1" ht="42">
      <c r="A11" s="1" t="s">
        <v>198</v>
      </c>
    </row>
    <row r="12" s="1" customFormat="1" ht="13.5" customHeight="1"/>
    <row r="13" s="1" customFormat="1" ht="13.5" customHeight="1">
      <c r="A13" s="4" t="s">
        <v>143</v>
      </c>
    </row>
    <row r="14" s="1" customFormat="1" ht="13.5" customHeight="1">
      <c r="A14" s="4"/>
    </row>
    <row r="15" s="1" customFormat="1" ht="27.75">
      <c r="A15" s="5" t="s">
        <v>149</v>
      </c>
    </row>
    <row r="16" s="1" customFormat="1" ht="13.5">
      <c r="A16" s="5" t="s">
        <v>150</v>
      </c>
    </row>
    <row r="17" s="1" customFormat="1" ht="27.75">
      <c r="A17" s="5" t="s">
        <v>204</v>
      </c>
    </row>
    <row r="18" s="1" customFormat="1" ht="27.75">
      <c r="A18" s="1" t="s">
        <v>199</v>
      </c>
    </row>
    <row r="19" s="1" customFormat="1" ht="55.5">
      <c r="A19" s="1" t="s">
        <v>200</v>
      </c>
    </row>
    <row r="20" s="1" customFormat="1" ht="27.75">
      <c r="A20" s="1" t="s">
        <v>154</v>
      </c>
    </row>
    <row r="21" s="1" customFormat="1" ht="27.75">
      <c r="A21" s="1" t="s">
        <v>151</v>
      </c>
    </row>
    <row r="22" s="1" customFormat="1" ht="69.75">
      <c r="A22" s="1" t="s">
        <v>201</v>
      </c>
    </row>
    <row r="23" s="1" customFormat="1" ht="27.75">
      <c r="A23" s="1" t="s">
        <v>152</v>
      </c>
    </row>
    <row r="24" s="1" customFormat="1" ht="12.75" customHeight="1">
      <c r="A24" s="1" t="s">
        <v>153</v>
      </c>
    </row>
    <row r="25" s="1" customFormat="1" ht="27.75">
      <c r="A25" s="1" t="s">
        <v>202</v>
      </c>
    </row>
    <row r="26" s="1" customFormat="1" ht="13.5" customHeight="1"/>
    <row r="27" s="1" customFormat="1" ht="15">
      <c r="A27" s="6" t="s">
        <v>136</v>
      </c>
    </row>
    <row r="28" s="1" customFormat="1" ht="13.5" customHeight="1">
      <c r="A28" s="6"/>
    </row>
    <row r="29" s="1" customFormat="1" ht="42">
      <c r="A29" s="1" t="s">
        <v>147</v>
      </c>
    </row>
    <row r="30" s="1" customFormat="1" ht="13.5" customHeight="1"/>
    <row r="31" s="1" customFormat="1" ht="15">
      <c r="A31" s="6" t="s">
        <v>135</v>
      </c>
    </row>
    <row r="32" s="1" customFormat="1" ht="13.5" customHeight="1">
      <c r="A32" s="6"/>
    </row>
    <row r="33" s="1" customFormat="1" ht="55.5">
      <c r="A33" s="1" t="s">
        <v>155</v>
      </c>
    </row>
    <row r="34" s="1" customFormat="1" ht="13.5" customHeight="1"/>
    <row r="35" ht="15">
      <c r="A35" s="6" t="s">
        <v>138</v>
      </c>
    </row>
    <row r="36" ht="13.5" customHeight="1">
      <c r="A36" s="6"/>
    </row>
    <row r="37" ht="27.75">
      <c r="A37" s="1" t="s">
        <v>203</v>
      </c>
    </row>
    <row r="38" ht="13.5" customHeight="1">
      <c r="A38" s="1"/>
    </row>
    <row r="39" ht="15">
      <c r="A39" s="6" t="s">
        <v>148</v>
      </c>
    </row>
    <row r="40" ht="13.5" customHeight="1">
      <c r="A40" s="7"/>
    </row>
    <row r="41" ht="13.5">
      <c r="A41" s="8" t="s">
        <v>156</v>
      </c>
    </row>
  </sheetData>
  <sheetProtection password="8FD9" sheet="1" objects="1" scenarios="1" selectLockedCells="1"/>
  <hyperlinks>
    <hyperlink ref="A3" r:id="rId1" display="www.excel-skills.com"/>
  </hyperlinks>
  <printOptions/>
  <pageMargins left="0.75" right="0.75" top="1" bottom="1" header="0.5" footer="0.5"/>
  <pageSetup fitToHeight="1" fitToWidth="1" horizontalDpi="600" verticalDpi="600" orientation="portrait" paperSize="9"/>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tabSelected="1" zoomScale="120" zoomScaleNormal="120" zoomScalePageLayoutView="0" workbookViewId="0" topLeftCell="A1">
      <selection activeCell="C13" sqref="C13"/>
    </sheetView>
  </sheetViews>
  <sheetFormatPr defaultColWidth="11.57421875" defaultRowHeight="15" customHeight="1"/>
  <cols>
    <col min="1" max="1" width="40.140625" style="16" customWidth="1"/>
    <col min="2" max="2" width="15.7109375" style="16" customWidth="1"/>
    <col min="3" max="3" width="41.421875" style="112" customWidth="1"/>
    <col min="4" max="19" width="15.7109375" style="16" customWidth="1"/>
    <col min="20" max="16384" width="11.421875" style="16" customWidth="1"/>
  </cols>
  <sheetData>
    <row r="1" spans="1:3" ht="15.75">
      <c r="A1" s="108" t="s">
        <v>6</v>
      </c>
      <c r="C1" s="111"/>
    </row>
    <row r="2" ht="15" customHeight="1">
      <c r="A2" s="97" t="s">
        <v>206</v>
      </c>
    </row>
    <row r="3" spans="1:3" ht="15" customHeight="1">
      <c r="A3" s="17" t="s">
        <v>213</v>
      </c>
      <c r="C3" s="113"/>
    </row>
    <row r="4" spans="1:3" ht="15" customHeight="1">
      <c r="A4" s="107" t="s">
        <v>7</v>
      </c>
      <c r="B4" s="114">
        <v>1000000</v>
      </c>
      <c r="C4" s="112" t="s">
        <v>214</v>
      </c>
    </row>
    <row r="5" spans="1:3" ht="15" customHeight="1">
      <c r="A5" s="107" t="s">
        <v>210</v>
      </c>
      <c r="B5" s="114">
        <v>7000</v>
      </c>
      <c r="C5" s="112" t="s">
        <v>215</v>
      </c>
    </row>
    <row r="6" spans="1:3" ht="15" customHeight="1">
      <c r="A6" s="107" t="s">
        <v>211</v>
      </c>
      <c r="B6" s="114">
        <v>6000</v>
      </c>
      <c r="C6" s="112" t="s">
        <v>225</v>
      </c>
    </row>
    <row r="7" spans="1:3" ht="15" customHeight="1">
      <c r="A7" s="107" t="s">
        <v>2</v>
      </c>
      <c r="B7" s="109">
        <v>0.1</v>
      </c>
      <c r="C7" s="112" t="s">
        <v>216</v>
      </c>
    </row>
    <row r="8" spans="1:3" ht="15" customHeight="1">
      <c r="A8" s="107" t="s">
        <v>9</v>
      </c>
      <c r="B8" s="13">
        <v>20</v>
      </c>
      <c r="C8" s="112" t="s">
        <v>217</v>
      </c>
    </row>
    <row r="9" spans="1:3" ht="15" customHeight="1">
      <c r="A9" s="107" t="s">
        <v>91</v>
      </c>
      <c r="B9" s="109">
        <v>0.115</v>
      </c>
      <c r="C9" s="112" t="s">
        <v>220</v>
      </c>
    </row>
    <row r="10" spans="1:3" ht="15" customHeight="1">
      <c r="A10" s="107" t="s">
        <v>92</v>
      </c>
      <c r="B10" s="109">
        <v>0.046</v>
      </c>
      <c r="C10" s="112" t="s">
        <v>219</v>
      </c>
    </row>
    <row r="11" spans="1:2" ht="15" customHeight="1">
      <c r="A11" s="112"/>
      <c r="B11" s="112"/>
    </row>
    <row r="12" spans="1:2" ht="15" customHeight="1">
      <c r="A12" s="17" t="s">
        <v>187</v>
      </c>
      <c r="B12" s="112"/>
    </row>
    <row r="13" spans="1:3" ht="15" customHeight="1">
      <c r="A13" s="107" t="s">
        <v>221</v>
      </c>
      <c r="B13" s="115">
        <f>B14+B15</f>
        <v>13000</v>
      </c>
      <c r="C13" s="112" t="s">
        <v>222</v>
      </c>
    </row>
    <row r="14" spans="1:3" ht="39.75" customHeight="1">
      <c r="A14" s="107" t="str">
        <f>"Monthly Bond Repayment @ "&amp;FIXED(B7*100,2)&amp;"%"</f>
        <v>Monthly Bond Repayment @ 10,00%</v>
      </c>
      <c r="B14" s="115">
        <f>PMT(B7/12,B8*12,-B4,0,0)</f>
        <v>9650.21645074008</v>
      </c>
      <c r="C14" s="112" t="s">
        <v>226</v>
      </c>
    </row>
    <row r="15" spans="1:3" ht="26.25" customHeight="1">
      <c r="A15" s="107" t="s">
        <v>139</v>
      </c>
      <c r="B15" s="115">
        <f>B5-B14+B6</f>
        <v>3349.7835492599206</v>
      </c>
      <c r="C15" s="112" t="s">
        <v>218</v>
      </c>
    </row>
    <row r="16" spans="1:3" ht="25.5" customHeight="1">
      <c r="A16" s="107" t="str">
        <f>"Monthly Bond Repayment @ "&amp;FIXED(B9*100,1)&amp;"%"</f>
        <v>Monthly Bond Repayment @ 11,5%</v>
      </c>
      <c r="B16" s="115">
        <f>PMT(B9/12,B8*12,-B4,0,0)</f>
        <v>10664.296315128591</v>
      </c>
      <c r="C16" s="112" t="s">
        <v>223</v>
      </c>
    </row>
    <row r="17" spans="1:3" ht="28.5" customHeight="1">
      <c r="A17" s="107" t="s">
        <v>197</v>
      </c>
      <c r="B17" s="115">
        <f>B16-B14</f>
        <v>1014.0798643885119</v>
      </c>
      <c r="C17" s="112" t="s">
        <v>224</v>
      </c>
    </row>
    <row r="18" ht="9" customHeight="1"/>
    <row r="19" ht="15" customHeight="1">
      <c r="A19" s="17" t="s">
        <v>227</v>
      </c>
    </row>
    <row r="20" spans="1:3" ht="15" customHeight="1">
      <c r="A20" s="107" t="s">
        <v>8</v>
      </c>
      <c r="B20" s="116">
        <f>B21-B4</f>
        <v>1316051.948177619</v>
      </c>
      <c r="C20" s="112" t="s">
        <v>234</v>
      </c>
    </row>
    <row r="21" spans="1:3" ht="15" customHeight="1">
      <c r="A21" s="107" t="s">
        <v>205</v>
      </c>
      <c r="B21" s="116">
        <f>B14*12*B8</f>
        <v>2316051.948177619</v>
      </c>
      <c r="C21" s="112" t="s">
        <v>228</v>
      </c>
    </row>
    <row r="22" spans="1:3" ht="15" customHeight="1">
      <c r="A22" s="107" t="s">
        <v>208</v>
      </c>
      <c r="B22" s="110">
        <f>B21/B4</f>
        <v>2.316051948177619</v>
      </c>
      <c r="C22" s="112" t="s">
        <v>229</v>
      </c>
    </row>
    <row r="23" spans="1:2" ht="15" customHeight="1" hidden="1">
      <c r="A23" s="16" t="s">
        <v>88</v>
      </c>
      <c r="B23" s="19">
        <f>NetDisposable!$C$35</f>
        <v>17500</v>
      </c>
    </row>
    <row r="24" spans="1:2" ht="15" customHeight="1" hidden="1">
      <c r="A24" s="16" t="s">
        <v>194</v>
      </c>
      <c r="B24" s="18">
        <f>-PV(B7/12,B8*12,B23,0,0)</f>
        <v>1813430.8271041831</v>
      </c>
    </row>
    <row r="25" spans="1:2" ht="15" customHeight="1" hidden="1">
      <c r="A25" s="16" t="s">
        <v>134</v>
      </c>
      <c r="B25" s="20">
        <f>B14</f>
        <v>9650.21645074008</v>
      </c>
    </row>
    <row r="26" spans="1:2" ht="15" customHeight="1" hidden="1">
      <c r="A26" s="16" t="s">
        <v>90</v>
      </c>
      <c r="B26" s="21">
        <f>IF(B23=0,"no NDI",(RATE(B8*12,B23,-B4,0,0)*12)-B7)</f>
        <v>0.10650196408387921</v>
      </c>
    </row>
    <row r="27" ht="15" customHeight="1" hidden="1"/>
    <row r="29" ht="15" customHeight="1">
      <c r="A29" s="17" t="s">
        <v>230</v>
      </c>
    </row>
    <row r="30" spans="1:3" ht="15" customHeight="1">
      <c r="A30" s="107" t="s">
        <v>127</v>
      </c>
      <c r="B30" s="116">
        <f>MonthAmort!L364</f>
        <v>604890.1645013003</v>
      </c>
      <c r="C30" s="112" t="s">
        <v>234</v>
      </c>
    </row>
    <row r="31" spans="1:3" ht="15" customHeight="1">
      <c r="A31" s="107" t="s">
        <v>128</v>
      </c>
      <c r="B31" s="116">
        <f>B20-B30</f>
        <v>711161.7836763186</v>
      </c>
      <c r="C31" s="112" t="s">
        <v>233</v>
      </c>
    </row>
    <row r="32" spans="1:3" ht="15" customHeight="1">
      <c r="A32" s="107" t="s">
        <v>207</v>
      </c>
      <c r="B32" s="116">
        <f>B30+B4</f>
        <v>1604890.1645013003</v>
      </c>
      <c r="C32" s="112" t="s">
        <v>228</v>
      </c>
    </row>
    <row r="33" spans="1:3" ht="15" customHeight="1">
      <c r="A33" s="107" t="s">
        <v>209</v>
      </c>
      <c r="B33" s="110">
        <f>B32/B4</f>
        <v>1.6048901645013003</v>
      </c>
      <c r="C33" s="112" t="s">
        <v>229</v>
      </c>
    </row>
    <row r="34" spans="1:3" ht="15" customHeight="1">
      <c r="A34" s="107" t="s">
        <v>195</v>
      </c>
      <c r="B34" s="110">
        <f>NPER(B7/12,B13,-B4,0,0)</f>
        <v>123.45206162752197</v>
      </c>
      <c r="C34" s="112" t="s">
        <v>231</v>
      </c>
    </row>
    <row r="35" spans="1:3" ht="15" customHeight="1">
      <c r="A35" s="107" t="s">
        <v>196</v>
      </c>
      <c r="B35" s="110">
        <f>B34/12</f>
        <v>10.287671802293497</v>
      </c>
      <c r="C35" s="112" t="s">
        <v>232</v>
      </c>
    </row>
    <row r="36" spans="1:3" ht="15" customHeight="1">
      <c r="A36" s="107" t="s">
        <v>212</v>
      </c>
      <c r="B36" s="110">
        <f>B8-B35</f>
        <v>9.712328197706503</v>
      </c>
      <c r="C36" s="112" t="s">
        <v>235</v>
      </c>
    </row>
    <row r="37" spans="1:2" ht="15" customHeight="1" hidden="1">
      <c r="A37" s="16" t="s">
        <v>129</v>
      </c>
      <c r="B37" s="18">
        <f>MonthAmort!S364</f>
        <v>0</v>
      </c>
    </row>
    <row r="38" ht="15" customHeight="1">
      <c r="B38" s="18"/>
    </row>
  </sheetData>
  <sheetProtection/>
  <dataValidations count="5">
    <dataValidation type="decimal" allowBlank="1" showInputMessage="1" showErrorMessage="1" promptTitle="Annual Interest Rate" prompt="Enter the annual interest rate as a percentage." errorTitle="Invalid Input" error="The annual interest rate must be a percentage!" sqref="B7">
      <formula1>0</formula1>
      <formula2>1</formula2>
    </dataValidation>
    <dataValidation allowBlank="1" showInputMessage="1" showErrorMessage="1" promptTitle="Increased Instalment" prompt="Enter an additional monthly bond repayment amount for increased instalment calculation purposes." sqref="B15:B17"/>
    <dataValidation type="decimal" allowBlank="1" showInputMessage="1" showErrorMessage="1" promptTitle="Interest Rate Sensitivity" prompt="Enter a second interest rate for comparison against the annual bond interest rate." errorTitle="Invalid Input" error="This interest rate must be entered as a percentage!" sqref="B9">
      <formula1>0</formula1>
      <formula2>1</formula2>
    </dataValidation>
    <dataValidation allowBlank="1" showInputMessage="1" showErrorMessage="1" promptTitle="Annual Inflation Rate" prompt="Enter the average annual inflation rate as a percentage. This value forms part of the present value calculation of the increased instalment interest saving." errorTitle="Invalid Input" error="The average inflation rate must be a percentage!" sqref="B10"/>
    <dataValidation type="whole" allowBlank="1" showInputMessage="1" showErrorMessage="1" promptTitle="Bond Period in Years" prompt="Enter a bond repayment period between 1 and 30 years." errorTitle="Invalid Input" error="The bond period must be between 1 and 30 years!" sqref="B8:B14">
      <formula1>1</formula1>
      <formula2>30</formula2>
    </dataValidation>
  </dataValidations>
  <printOptions/>
  <pageMargins left="0.75" right="0.75" top="1" bottom="1" header="0.5" footer="0.5"/>
  <pageSetup fitToHeight="1" fitToWidth="1" horizontalDpi="600" verticalDpi="600" orientation="landscape" paperSize="9" scale="80"/>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33"/>
  <sheetViews>
    <sheetView zoomScale="120" zoomScaleNormal="120" zoomScalePageLayoutView="0" workbookViewId="0" topLeftCell="A1">
      <pane ySplit="3" topLeftCell="A4" activePane="bottomLeft" state="frozen"/>
      <selection pane="topLeft" activeCell="A1" sqref="A1"/>
      <selection pane="bottomLeft" activeCell="B4" sqref="B4"/>
    </sheetView>
  </sheetViews>
  <sheetFormatPr defaultColWidth="11.57421875" defaultRowHeight="15" customHeight="1"/>
  <cols>
    <col min="1" max="1" width="14.00390625" style="96" customWidth="1"/>
    <col min="2" max="6" width="15.7109375" style="18" customWidth="1"/>
    <col min="7" max="7" width="15.7109375" style="80" customWidth="1"/>
    <col min="8" max="8" width="5.7109375" style="16" customWidth="1"/>
    <col min="9" max="9" width="15.7109375" style="75" customWidth="1"/>
    <col min="10" max="10" width="15.7109375" style="76" customWidth="1"/>
    <col min="11" max="11" width="15.7109375" style="75" customWidth="1"/>
    <col min="12" max="18" width="15.7109375" style="16" customWidth="1"/>
    <col min="19" max="16384" width="11.421875" style="16" customWidth="1"/>
  </cols>
  <sheetData>
    <row r="1" spans="1:7" ht="15.75">
      <c r="A1" s="103" t="s">
        <v>116</v>
      </c>
      <c r="G1" s="15"/>
    </row>
    <row r="2" ht="15" customHeight="1">
      <c r="A2" s="97" t="s">
        <v>206</v>
      </c>
    </row>
    <row r="3" spans="1:11" s="77" customFormat="1" ht="30">
      <c r="A3" s="104" t="s">
        <v>130</v>
      </c>
      <c r="B3" s="105" t="s">
        <v>188</v>
      </c>
      <c r="C3" s="105" t="s">
        <v>3</v>
      </c>
      <c r="D3" s="105" t="s">
        <v>190</v>
      </c>
      <c r="E3" s="105" t="s">
        <v>191</v>
      </c>
      <c r="F3" s="105" t="s">
        <v>189</v>
      </c>
      <c r="G3" s="106" t="s">
        <v>4</v>
      </c>
      <c r="I3" s="78" t="s">
        <v>131</v>
      </c>
      <c r="J3" s="79" t="s">
        <v>132</v>
      </c>
      <c r="K3" s="78" t="s">
        <v>133</v>
      </c>
    </row>
    <row r="4" spans="1:11" ht="15" customHeight="1">
      <c r="A4" s="96">
        <v>1</v>
      </c>
      <c r="B4" s="117">
        <f>BondCalculator!$B$4</f>
        <v>1000000</v>
      </c>
      <c r="C4" s="117">
        <f>IF(B4=0,0,BondCalculator!$B$13*12)</f>
        <v>156000</v>
      </c>
      <c r="D4" s="117">
        <f ca="1">SUM(OFFSET(MonthAmort!$E$3,1,0,12,1))</f>
        <v>97360.68223287356</v>
      </c>
      <c r="E4" s="117">
        <f ca="1">SUM(OFFSET(MonthAmort!$F$3,1,0,12,1))</f>
        <v>58639.31776712643</v>
      </c>
      <c r="F4" s="117">
        <f>IF(ROUND(B4-E4,2)=0,0,B4-E4)</f>
        <v>941360.6822328735</v>
      </c>
      <c r="G4" s="80">
        <f>IF($B$4=0,0,F4/$B$4)</f>
        <v>0.9413606822328735</v>
      </c>
      <c r="I4" s="81">
        <f>SUM($D$4:D4)</f>
        <v>97360.68223287356</v>
      </c>
      <c r="J4" s="76">
        <f ca="1">SUM(OFFSET(MonthAmort!$L$3,1,0,A4*12,1))</f>
        <v>97360.68223287356</v>
      </c>
      <c r="K4" s="81">
        <f>SUM($E$4:E4)</f>
        <v>58639.31776712643</v>
      </c>
    </row>
    <row r="5" spans="1:11" ht="15" customHeight="1">
      <c r="A5" s="96">
        <v>2</v>
      </c>
      <c r="B5" s="117">
        <f>F4</f>
        <v>941360.6822328735</v>
      </c>
      <c r="C5" s="117">
        <f>IF(B5=0,0,BondCalculator!$B$13*12)</f>
        <v>156000</v>
      </c>
      <c r="D5" s="117">
        <f ca="1">SUM(OFFSET(MonthAmort!$E$3,(12*A4)+1,0,12,1))</f>
        <v>91220.3793968128</v>
      </c>
      <c r="E5" s="117">
        <f ca="1">SUM(OFFSET(MonthAmort!$F$3,(12*A4)+1,0,12,1))</f>
        <v>64779.6206031872</v>
      </c>
      <c r="F5" s="117">
        <f aca="true" t="shared" si="0" ref="F5:F33">IF(ROUND(B5-E5,2)=0,0,B5-E5)</f>
        <v>876581.0616296863</v>
      </c>
      <c r="G5" s="80">
        <f aca="true" t="shared" si="1" ref="G5:G33">IF($B$4=0,0,F5/$B$4)</f>
        <v>0.8765810616296863</v>
      </c>
      <c r="I5" s="81">
        <f>SUM($D$4:D5)</f>
        <v>188581.06162968636</v>
      </c>
      <c r="J5" s="76">
        <f ca="1">SUM(OFFSET(MonthAmort!$L$3,1,0,A5*12,1))</f>
        <v>188581.06162968633</v>
      </c>
      <c r="K5" s="81">
        <f>SUM($E$4:E5)</f>
        <v>123418.93837031363</v>
      </c>
    </row>
    <row r="6" spans="1:11" ht="15" customHeight="1">
      <c r="A6" s="96">
        <v>3</v>
      </c>
      <c r="B6" s="117">
        <f aca="true" t="shared" si="2" ref="B6:B33">F5</f>
        <v>876581.0616296863</v>
      </c>
      <c r="C6" s="117">
        <f>IF(B6=0,0,BondCalculator!$B$13*12)</f>
        <v>156000</v>
      </c>
      <c r="D6" s="117">
        <f ca="1">SUM(OFFSET(MonthAmort!$E$3,(12*A5)+1,0,12,1))</f>
        <v>84437.10661576959</v>
      </c>
      <c r="E6" s="117">
        <f ca="1">SUM(OFFSET(MonthAmort!$F$3,(12*A5)+1,0,12,1))</f>
        <v>71562.89338423041</v>
      </c>
      <c r="F6" s="117">
        <f t="shared" si="0"/>
        <v>805018.1682454558</v>
      </c>
      <c r="G6" s="80">
        <f t="shared" si="1"/>
        <v>0.8050181682454558</v>
      </c>
      <c r="I6" s="81">
        <f>SUM($D$4:D6)</f>
        <v>273018.16824545595</v>
      </c>
      <c r="J6" s="76">
        <f ca="1">SUM(OFFSET(MonthAmort!$L$3,1,0,A6*12,1))</f>
        <v>273018.16824545595</v>
      </c>
      <c r="K6" s="81">
        <f>SUM($E$4:E6)</f>
        <v>194981.83175454405</v>
      </c>
    </row>
    <row r="7" spans="1:11" ht="15" customHeight="1">
      <c r="A7" s="96">
        <v>4</v>
      </c>
      <c r="B7" s="117">
        <f t="shared" si="2"/>
        <v>805018.1682454558</v>
      </c>
      <c r="C7" s="117">
        <f>IF(B7=0,0,BondCalculator!$B$13*12)</f>
        <v>156000</v>
      </c>
      <c r="D7" s="117">
        <f ca="1">SUM(OFFSET(MonthAmort!$E$3,(12*A6)+1,0,12,1))</f>
        <v>76943.53653453232</v>
      </c>
      <c r="E7" s="117">
        <f ca="1">SUM(OFFSET(MonthAmort!$F$3,(12*A6)+1,0,12,1))</f>
        <v>79056.46346546768</v>
      </c>
      <c r="F7" s="117">
        <f t="shared" si="0"/>
        <v>725961.7047799882</v>
      </c>
      <c r="G7" s="80">
        <f t="shared" si="1"/>
        <v>0.7259617047799881</v>
      </c>
      <c r="I7" s="81">
        <f>SUM($D$4:D7)</f>
        <v>349961.7047799883</v>
      </c>
      <c r="J7" s="76">
        <f ca="1">SUM(OFFSET(MonthAmort!$L$3,1,0,A7*12,1))</f>
        <v>349961.7047799882</v>
      </c>
      <c r="K7" s="81">
        <f>SUM($E$4:E7)</f>
        <v>274038.2952200117</v>
      </c>
    </row>
    <row r="8" spans="1:11" ht="15" customHeight="1">
      <c r="A8" s="96">
        <v>5</v>
      </c>
      <c r="B8" s="117">
        <f t="shared" si="2"/>
        <v>725961.7047799882</v>
      </c>
      <c r="C8" s="117">
        <f>IF(B8=0,0,BondCalculator!$B$13*12)</f>
        <v>156000</v>
      </c>
      <c r="D8" s="117">
        <f ca="1">SUM(OFFSET(MonthAmort!$E$3,(12*A7)+1,0,12,1))</f>
        <v>68665.29174400234</v>
      </c>
      <c r="E8" s="117">
        <f ca="1">SUM(OFFSET(MonthAmort!$F$3,(12*A7)+1,0,12,1))</f>
        <v>87334.70825599764</v>
      </c>
      <c r="F8" s="117">
        <f t="shared" si="0"/>
        <v>638626.9965239905</v>
      </c>
      <c r="G8" s="80">
        <f t="shared" si="1"/>
        <v>0.6386269965239906</v>
      </c>
      <c r="I8" s="81">
        <f>SUM($D$4:D8)</f>
        <v>418626.99652399065</v>
      </c>
      <c r="J8" s="76">
        <f ca="1">SUM(OFFSET(MonthAmort!$L$3,1,0,A8*12,1))</f>
        <v>418626.9965239907</v>
      </c>
      <c r="K8" s="81">
        <f>SUM($E$4:E8)</f>
        <v>361373.00347600935</v>
      </c>
    </row>
    <row r="9" spans="1:11" ht="15" customHeight="1">
      <c r="A9" s="96">
        <v>6</v>
      </c>
      <c r="B9" s="117">
        <f t="shared" si="2"/>
        <v>638626.9965239905</v>
      </c>
      <c r="C9" s="117">
        <f>IF(B9=0,0,BondCalculator!$B$13*12)</f>
        <v>156000</v>
      </c>
      <c r="D9" s="117">
        <f ca="1">SUM(OFFSET(MonthAmort!$E$3,(12*A8)+1,0,12,1))</f>
        <v>59520.20654842605</v>
      </c>
      <c r="E9" s="117">
        <f ca="1">SUM(OFFSET(MonthAmort!$F$3,(12*A8)+1,0,12,1))</f>
        <v>96479.79345157396</v>
      </c>
      <c r="F9" s="117">
        <f t="shared" si="0"/>
        <v>542147.2030724166</v>
      </c>
      <c r="G9" s="80">
        <f t="shared" si="1"/>
        <v>0.5421472030724166</v>
      </c>
      <c r="I9" s="81">
        <f>SUM($D$4:D9)</f>
        <v>478147.2030724167</v>
      </c>
      <c r="J9" s="76">
        <f ca="1">SUM(OFFSET(MonthAmort!$L$3,1,0,A9*12,1))</f>
        <v>478147.2030724167</v>
      </c>
      <c r="K9" s="81">
        <f>SUM($E$4:E9)</f>
        <v>457852.7969275833</v>
      </c>
    </row>
    <row r="10" spans="1:11" ht="15" customHeight="1">
      <c r="A10" s="96">
        <v>7</v>
      </c>
      <c r="B10" s="117">
        <f t="shared" si="2"/>
        <v>542147.2030724166</v>
      </c>
      <c r="C10" s="117">
        <f>IF(B10=0,0,BondCalculator!$B$13*12)</f>
        <v>156000</v>
      </c>
      <c r="D10" s="117">
        <f ca="1">SUM(OFFSET(MonthAmort!$E$3,(12*A9)+1,0,12,1))</f>
        <v>49417.51143000898</v>
      </c>
      <c r="E10" s="117">
        <f ca="1">SUM(OFFSET(MonthAmort!$F$3,(12*A9)+1,0,12,1))</f>
        <v>106582.48856999104</v>
      </c>
      <c r="F10" s="117">
        <f t="shared" si="0"/>
        <v>435564.7145024256</v>
      </c>
      <c r="G10" s="80">
        <f t="shared" si="1"/>
        <v>0.43556471450242557</v>
      </c>
      <c r="I10" s="81">
        <f>SUM($D$4:D10)</f>
        <v>527564.7145024256</v>
      </c>
      <c r="J10" s="76">
        <f ca="1">SUM(OFFSET(MonthAmort!$L$3,1,0,A10*12,1))</f>
        <v>527564.7145024257</v>
      </c>
      <c r="K10" s="81">
        <f>SUM($E$4:E10)</f>
        <v>564435.2854975744</v>
      </c>
    </row>
    <row r="11" spans="1:11" ht="15" customHeight="1">
      <c r="A11" s="96">
        <v>8</v>
      </c>
      <c r="B11" s="117">
        <f t="shared" si="2"/>
        <v>435564.7145024256</v>
      </c>
      <c r="C11" s="117">
        <f>IF(B11=0,0,BondCalculator!$B$13*12)</f>
        <v>156000</v>
      </c>
      <c r="D11" s="117">
        <f ca="1">SUM(OFFSET(MonthAmort!$E$3,(12*A10)+1,0,12,1))</f>
        <v>38256.93211631821</v>
      </c>
      <c r="E11" s="117">
        <f ca="1">SUM(OFFSET(MonthAmort!$F$3,(12*A10)+1,0,12,1))</f>
        <v>117743.0678836818</v>
      </c>
      <c r="F11" s="117">
        <f t="shared" si="0"/>
        <v>317821.6466187438</v>
      </c>
      <c r="G11" s="80">
        <f t="shared" si="1"/>
        <v>0.3178216466187438</v>
      </c>
      <c r="I11" s="81">
        <f>SUM($D$4:D11)</f>
        <v>565821.6466187439</v>
      </c>
      <c r="J11" s="76">
        <f ca="1">SUM(OFFSET(MonthAmort!$L$3,1,0,A11*12,1))</f>
        <v>565821.6466187438</v>
      </c>
      <c r="K11" s="81">
        <f>SUM($E$4:E11)</f>
        <v>682178.3533812561</v>
      </c>
    </row>
    <row r="12" spans="1:11" ht="15" customHeight="1">
      <c r="A12" s="96">
        <v>9</v>
      </c>
      <c r="B12" s="117">
        <f t="shared" si="2"/>
        <v>317821.6466187438</v>
      </c>
      <c r="C12" s="117">
        <f>IF(B12=0,0,BondCalculator!$B$13*12)</f>
        <v>156000</v>
      </c>
      <c r="D12" s="117">
        <f ca="1">SUM(OFFSET(MonthAmort!$E$3,(12*A11)+1,0,12,1))</f>
        <v>25927.69430826901</v>
      </c>
      <c r="E12" s="117">
        <f ca="1">SUM(OFFSET(MonthAmort!$F$3,(12*A11)+1,0,12,1))</f>
        <v>130072.30569173099</v>
      </c>
      <c r="F12" s="117">
        <f t="shared" si="0"/>
        <v>187749.3409270128</v>
      </c>
      <c r="G12" s="80">
        <f t="shared" si="1"/>
        <v>0.1877493409270128</v>
      </c>
      <c r="I12" s="81">
        <f>SUM($D$4:D12)</f>
        <v>591749.3409270128</v>
      </c>
      <c r="J12" s="76">
        <f ca="1">SUM(OFFSET(MonthAmort!$L$3,1,0,A12*12,1))</f>
        <v>591749.3409270127</v>
      </c>
      <c r="K12" s="81">
        <f>SUM($E$4:E12)</f>
        <v>812250.659072987</v>
      </c>
    </row>
    <row r="13" spans="1:11" ht="15" customHeight="1">
      <c r="A13" s="96">
        <v>10</v>
      </c>
      <c r="B13" s="117">
        <f t="shared" si="2"/>
        <v>187749.3409270128</v>
      </c>
      <c r="C13" s="117">
        <f>IF(B13=0,0,BondCalculator!$B$13*12)</f>
        <v>156000</v>
      </c>
      <c r="D13" s="117">
        <f ca="1">SUM(OFFSET(MonthAmort!$E$3,(12*A12)+1,0,12,1))</f>
        <v>12307.424190125745</v>
      </c>
      <c r="E13" s="117">
        <f ca="1">SUM(OFFSET(MonthAmort!$F$3,(12*A12)+1,0,12,1))</f>
        <v>143692.57580987422</v>
      </c>
      <c r="F13" s="117">
        <f t="shared" si="0"/>
        <v>44056.765117138566</v>
      </c>
      <c r="G13" s="80">
        <f t="shared" si="1"/>
        <v>0.04405676511713857</v>
      </c>
      <c r="I13" s="81">
        <f>SUM($D$4:D13)</f>
        <v>604056.7651171386</v>
      </c>
      <c r="J13" s="76">
        <f ca="1">SUM(OFFSET(MonthAmort!$L$3,1,0,A13*12,1))</f>
        <v>604056.7651171384</v>
      </c>
      <c r="K13" s="81">
        <f>SUM($E$4:E13)</f>
        <v>955943.2348828613</v>
      </c>
    </row>
    <row r="14" spans="1:11" ht="15" customHeight="1">
      <c r="A14" s="96">
        <v>11</v>
      </c>
      <c r="B14" s="117">
        <f t="shared" si="2"/>
        <v>44056.765117138566</v>
      </c>
      <c r="C14" s="117">
        <f>IF(B14=0,0,BondCalculator!$B$13*12)</f>
        <v>156000</v>
      </c>
      <c r="D14" s="117">
        <f ca="1">SUM(OFFSET(MonthAmort!$E$3,(12*A13)+1,0,12,1))</f>
        <v>833.3993841618762</v>
      </c>
      <c r="E14" s="117">
        <f ca="1">SUM(OFFSET(MonthAmort!$F$3,(12*A13)+1,0,12,1))</f>
        <v>44056.765117138966</v>
      </c>
      <c r="F14" s="117">
        <f t="shared" si="0"/>
        <v>0</v>
      </c>
      <c r="G14" s="80">
        <f t="shared" si="1"/>
        <v>0</v>
      </c>
      <c r="I14" s="81">
        <f>SUM($D$4:D14)</f>
        <v>604890.1645013005</v>
      </c>
      <c r="J14" s="76">
        <f ca="1">SUM(OFFSET(MonthAmort!$L$3,1,0,A14*12,1))</f>
        <v>604890.1645013003</v>
      </c>
      <c r="K14" s="81">
        <f>SUM($E$4:E14)</f>
        <v>1000000.0000000002</v>
      </c>
    </row>
    <row r="15" spans="1:11" ht="15" customHeight="1">
      <c r="A15" s="96">
        <v>12</v>
      </c>
      <c r="B15" s="117">
        <f t="shared" si="2"/>
        <v>0</v>
      </c>
      <c r="C15" s="117">
        <f>IF(B15=0,0,BondCalculator!$B$13*12)</f>
        <v>0</v>
      </c>
      <c r="D15" s="117">
        <f ca="1">SUM(OFFSET(MonthAmort!$E$3,(12*A14)+1,0,12,1))</f>
        <v>0</v>
      </c>
      <c r="E15" s="117">
        <f ca="1">SUM(OFFSET(MonthAmort!$F$3,(12*A14)+1,0,12,1))</f>
        <v>0</v>
      </c>
      <c r="F15" s="117">
        <f t="shared" si="0"/>
        <v>0</v>
      </c>
      <c r="G15" s="80">
        <f t="shared" si="1"/>
        <v>0</v>
      </c>
      <c r="I15" s="81">
        <f>SUM($D$4:D15)</f>
        <v>604890.1645013005</v>
      </c>
      <c r="J15" s="76">
        <f ca="1">SUM(OFFSET(MonthAmort!$L$3,1,0,A15*12,1))</f>
        <v>604890.1645013003</v>
      </c>
      <c r="K15" s="81">
        <f>SUM($E$4:E15)</f>
        <v>1000000.0000000002</v>
      </c>
    </row>
    <row r="16" spans="1:11" ht="15" customHeight="1">
      <c r="A16" s="96">
        <v>13</v>
      </c>
      <c r="B16" s="117">
        <f t="shared" si="2"/>
        <v>0</v>
      </c>
      <c r="C16" s="117">
        <f>IF(B16=0,0,BondCalculator!$B$13*12)</f>
        <v>0</v>
      </c>
      <c r="D16" s="117">
        <f ca="1">SUM(OFFSET(MonthAmort!$E$3,(12*A15)+1,0,12,1))</f>
        <v>0</v>
      </c>
      <c r="E16" s="117">
        <f ca="1">SUM(OFFSET(MonthAmort!$F$3,(12*A15)+1,0,12,1))</f>
        <v>0</v>
      </c>
      <c r="F16" s="117">
        <f t="shared" si="0"/>
        <v>0</v>
      </c>
      <c r="G16" s="80">
        <f t="shared" si="1"/>
        <v>0</v>
      </c>
      <c r="I16" s="81">
        <f>SUM($D$4:D16)</f>
        <v>604890.1645013005</v>
      </c>
      <c r="J16" s="76">
        <f ca="1">SUM(OFFSET(MonthAmort!$L$3,1,0,A16*12,1))</f>
        <v>604890.1645013003</v>
      </c>
      <c r="K16" s="81">
        <f>SUM($E$4:E16)</f>
        <v>1000000.0000000002</v>
      </c>
    </row>
    <row r="17" spans="1:11" ht="15" customHeight="1">
      <c r="A17" s="96">
        <v>14</v>
      </c>
      <c r="B17" s="117">
        <f t="shared" si="2"/>
        <v>0</v>
      </c>
      <c r="C17" s="117">
        <f>IF(B17=0,0,BondCalculator!$B$13*12)</f>
        <v>0</v>
      </c>
      <c r="D17" s="117">
        <f ca="1">SUM(OFFSET(MonthAmort!$E$3,(12*A16)+1,0,12,1))</f>
        <v>0</v>
      </c>
      <c r="E17" s="117">
        <f ca="1">SUM(OFFSET(MonthAmort!$F$3,(12*A16)+1,0,12,1))</f>
        <v>0</v>
      </c>
      <c r="F17" s="117">
        <f t="shared" si="0"/>
        <v>0</v>
      </c>
      <c r="G17" s="80">
        <f t="shared" si="1"/>
        <v>0</v>
      </c>
      <c r="I17" s="81">
        <f>SUM($D$4:D17)</f>
        <v>604890.1645013005</v>
      </c>
      <c r="J17" s="76">
        <f ca="1">SUM(OFFSET(MonthAmort!$L$3,1,0,A17*12,1))</f>
        <v>604890.1645013003</v>
      </c>
      <c r="K17" s="81">
        <f>SUM($E$4:E17)</f>
        <v>1000000.0000000002</v>
      </c>
    </row>
    <row r="18" spans="1:11" ht="15" customHeight="1">
      <c r="A18" s="96">
        <v>15</v>
      </c>
      <c r="B18" s="117">
        <f t="shared" si="2"/>
        <v>0</v>
      </c>
      <c r="C18" s="117">
        <f>IF(B18=0,0,BondCalculator!$B$13*12)</f>
        <v>0</v>
      </c>
      <c r="D18" s="117">
        <f ca="1">SUM(OFFSET(MonthAmort!$E$3,(12*A17)+1,0,12,1))</f>
        <v>0</v>
      </c>
      <c r="E18" s="117">
        <f ca="1">SUM(OFFSET(MonthAmort!$F$3,(12*A17)+1,0,12,1))</f>
        <v>0</v>
      </c>
      <c r="F18" s="117">
        <f t="shared" si="0"/>
        <v>0</v>
      </c>
      <c r="G18" s="80">
        <f t="shared" si="1"/>
        <v>0</v>
      </c>
      <c r="I18" s="81">
        <f>SUM($D$4:D18)</f>
        <v>604890.1645013005</v>
      </c>
      <c r="J18" s="76">
        <f ca="1">SUM(OFFSET(MonthAmort!$L$3,1,0,A18*12,1))</f>
        <v>604890.1645013003</v>
      </c>
      <c r="K18" s="81">
        <f>SUM($E$4:E18)</f>
        <v>1000000.0000000002</v>
      </c>
    </row>
    <row r="19" spans="1:11" ht="15" customHeight="1">
      <c r="A19" s="96">
        <v>16</v>
      </c>
      <c r="B19" s="117">
        <f t="shared" si="2"/>
        <v>0</v>
      </c>
      <c r="C19" s="117">
        <f>IF(B19=0,0,BondCalculator!$B$13*12)</f>
        <v>0</v>
      </c>
      <c r="D19" s="117">
        <f ca="1">SUM(OFFSET(MonthAmort!$E$3,(12*A18)+1,0,12,1))</f>
        <v>0</v>
      </c>
      <c r="E19" s="117">
        <f ca="1">SUM(OFFSET(MonthAmort!$F$3,(12*A18)+1,0,12,1))</f>
        <v>0</v>
      </c>
      <c r="F19" s="117">
        <f t="shared" si="0"/>
        <v>0</v>
      </c>
      <c r="G19" s="80">
        <f t="shared" si="1"/>
        <v>0</v>
      </c>
      <c r="I19" s="81">
        <f>SUM($D$4:D19)</f>
        <v>604890.1645013005</v>
      </c>
      <c r="J19" s="76">
        <f ca="1">SUM(OFFSET(MonthAmort!$L$3,1,0,A19*12,1))</f>
        <v>604890.1645013003</v>
      </c>
      <c r="K19" s="81">
        <f>SUM($E$4:E19)</f>
        <v>1000000.0000000002</v>
      </c>
    </row>
    <row r="20" spans="1:11" ht="15" customHeight="1">
      <c r="A20" s="96">
        <v>17</v>
      </c>
      <c r="B20" s="117">
        <f t="shared" si="2"/>
        <v>0</v>
      </c>
      <c r="C20" s="117">
        <f>IF(B20=0,0,BondCalculator!$B$13*12)</f>
        <v>0</v>
      </c>
      <c r="D20" s="117">
        <f ca="1">SUM(OFFSET(MonthAmort!$E$3,(12*A19)+1,0,12,1))</f>
        <v>0</v>
      </c>
      <c r="E20" s="117">
        <f ca="1">SUM(OFFSET(MonthAmort!$F$3,(12*A19)+1,0,12,1))</f>
        <v>0</v>
      </c>
      <c r="F20" s="117">
        <f t="shared" si="0"/>
        <v>0</v>
      </c>
      <c r="G20" s="80">
        <f t="shared" si="1"/>
        <v>0</v>
      </c>
      <c r="I20" s="81">
        <f>SUM($D$4:D20)</f>
        <v>604890.1645013005</v>
      </c>
      <c r="J20" s="76">
        <f ca="1">SUM(OFFSET(MonthAmort!$L$3,1,0,A20*12,1))</f>
        <v>604890.1645013003</v>
      </c>
      <c r="K20" s="81">
        <f>SUM($E$4:E20)</f>
        <v>1000000.0000000002</v>
      </c>
    </row>
    <row r="21" spans="1:11" ht="15" customHeight="1">
      <c r="A21" s="96">
        <v>18</v>
      </c>
      <c r="B21" s="117">
        <f t="shared" si="2"/>
        <v>0</v>
      </c>
      <c r="C21" s="117">
        <f>IF(B21=0,0,BondCalculator!$B$13*12)</f>
        <v>0</v>
      </c>
      <c r="D21" s="117">
        <f ca="1">SUM(OFFSET(MonthAmort!$E$3,(12*A20)+1,0,12,1))</f>
        <v>0</v>
      </c>
      <c r="E21" s="117">
        <f ca="1">SUM(OFFSET(MonthAmort!$F$3,(12*A20)+1,0,12,1))</f>
        <v>0</v>
      </c>
      <c r="F21" s="117">
        <f t="shared" si="0"/>
        <v>0</v>
      </c>
      <c r="G21" s="80">
        <f t="shared" si="1"/>
        <v>0</v>
      </c>
      <c r="I21" s="81">
        <f>SUM($D$4:D21)</f>
        <v>604890.1645013005</v>
      </c>
      <c r="J21" s="76">
        <f ca="1">SUM(OFFSET(MonthAmort!$L$3,1,0,A21*12,1))</f>
        <v>604890.1645013003</v>
      </c>
      <c r="K21" s="81">
        <f>SUM($E$4:E21)</f>
        <v>1000000.0000000002</v>
      </c>
    </row>
    <row r="22" spans="1:11" ht="15" customHeight="1">
      <c r="A22" s="96">
        <v>19</v>
      </c>
      <c r="B22" s="117">
        <f t="shared" si="2"/>
        <v>0</v>
      </c>
      <c r="C22" s="117">
        <f>IF(B22=0,0,BondCalculator!$B$13*12)</f>
        <v>0</v>
      </c>
      <c r="D22" s="117">
        <f ca="1">SUM(OFFSET(MonthAmort!$E$3,(12*A21)+1,0,12,1))</f>
        <v>0</v>
      </c>
      <c r="E22" s="117">
        <f ca="1">SUM(OFFSET(MonthAmort!$F$3,(12*A21)+1,0,12,1))</f>
        <v>0</v>
      </c>
      <c r="F22" s="117">
        <f t="shared" si="0"/>
        <v>0</v>
      </c>
      <c r="G22" s="80">
        <f t="shared" si="1"/>
        <v>0</v>
      </c>
      <c r="I22" s="81">
        <f>SUM($D$4:D22)</f>
        <v>604890.1645013005</v>
      </c>
      <c r="J22" s="76">
        <f ca="1">SUM(OFFSET(MonthAmort!$L$3,1,0,A22*12,1))</f>
        <v>604890.1645013003</v>
      </c>
      <c r="K22" s="81">
        <f>SUM($E$4:E22)</f>
        <v>1000000.0000000002</v>
      </c>
    </row>
    <row r="23" spans="1:11" ht="15" customHeight="1">
      <c r="A23" s="96">
        <v>20</v>
      </c>
      <c r="B23" s="117">
        <f t="shared" si="2"/>
        <v>0</v>
      </c>
      <c r="C23" s="117">
        <f>IF(B23=0,0,BondCalculator!$B$13*12)</f>
        <v>0</v>
      </c>
      <c r="D23" s="117">
        <f ca="1">SUM(OFFSET(MonthAmort!$E$3,(12*A22)+1,0,12,1))</f>
        <v>0</v>
      </c>
      <c r="E23" s="117">
        <f ca="1">SUM(OFFSET(MonthAmort!$F$3,(12*A22)+1,0,12,1))</f>
        <v>0</v>
      </c>
      <c r="F23" s="117">
        <f t="shared" si="0"/>
        <v>0</v>
      </c>
      <c r="G23" s="80">
        <f t="shared" si="1"/>
        <v>0</v>
      </c>
      <c r="I23" s="81">
        <f>SUM($D$4:D23)</f>
        <v>604890.1645013005</v>
      </c>
      <c r="J23" s="76">
        <f ca="1">SUM(OFFSET(MonthAmort!$L$3,1,0,A23*12,1))</f>
        <v>604890.1645013003</v>
      </c>
      <c r="K23" s="81">
        <f>SUM($E$4:E23)</f>
        <v>1000000.0000000002</v>
      </c>
    </row>
    <row r="24" spans="1:11" ht="15" customHeight="1">
      <c r="A24" s="96">
        <v>21</v>
      </c>
      <c r="B24" s="117">
        <f t="shared" si="2"/>
        <v>0</v>
      </c>
      <c r="C24" s="117">
        <f>IF(B24=0,0,BondCalculator!$B$14*12)</f>
        <v>0</v>
      </c>
      <c r="D24" s="117">
        <f ca="1">SUM(OFFSET(MonthAmort!$E$3,(12*A23)+1,0,12,1))</f>
        <v>0</v>
      </c>
      <c r="E24" s="117">
        <f ca="1">SUM(OFFSET(MonthAmort!$F$3,(12*A23)+1,0,12,1))</f>
        <v>0</v>
      </c>
      <c r="F24" s="117">
        <f t="shared" si="0"/>
        <v>0</v>
      </c>
      <c r="G24" s="80">
        <f t="shared" si="1"/>
        <v>0</v>
      </c>
      <c r="I24" s="81">
        <f>SUM($D$4:D24)</f>
        <v>604890.1645013005</v>
      </c>
      <c r="J24" s="76">
        <f ca="1">SUM(OFFSET(MonthAmort!$L$3,1,0,A24*12,1))</f>
        <v>604890.1645013003</v>
      </c>
      <c r="K24" s="81">
        <f>SUM($E$4:E24)</f>
        <v>1000000.0000000002</v>
      </c>
    </row>
    <row r="25" spans="1:11" ht="15" customHeight="1">
      <c r="A25" s="96">
        <v>22</v>
      </c>
      <c r="B25" s="117">
        <f t="shared" si="2"/>
        <v>0</v>
      </c>
      <c r="C25" s="117">
        <f>IF(B25=0,0,BondCalculator!$B$14*12)</f>
        <v>0</v>
      </c>
      <c r="D25" s="117">
        <f ca="1">SUM(OFFSET(MonthAmort!$E$3,(12*A24)+1,0,12,1))</f>
        <v>0</v>
      </c>
      <c r="E25" s="117">
        <f ca="1">SUM(OFFSET(MonthAmort!$F$3,(12*A24)+1,0,12,1))</f>
        <v>0</v>
      </c>
      <c r="F25" s="117">
        <f t="shared" si="0"/>
        <v>0</v>
      </c>
      <c r="G25" s="80">
        <f t="shared" si="1"/>
        <v>0</v>
      </c>
      <c r="I25" s="81">
        <f>SUM($D$4:D25)</f>
        <v>604890.1645013005</v>
      </c>
      <c r="J25" s="76">
        <f ca="1">SUM(OFFSET(MonthAmort!$L$3,1,0,A25*12,1))</f>
        <v>604890.1645013003</v>
      </c>
      <c r="K25" s="81">
        <f>SUM($E$4:E25)</f>
        <v>1000000.0000000002</v>
      </c>
    </row>
    <row r="26" spans="1:11" ht="15" customHeight="1">
      <c r="A26" s="96">
        <v>23</v>
      </c>
      <c r="B26" s="117">
        <f t="shared" si="2"/>
        <v>0</v>
      </c>
      <c r="C26" s="117">
        <f>IF(B26=0,0,BondCalculator!$B$14*12)</f>
        <v>0</v>
      </c>
      <c r="D26" s="117">
        <f ca="1">SUM(OFFSET(MonthAmort!$E$3,(12*A25)+1,0,12,1))</f>
        <v>0</v>
      </c>
      <c r="E26" s="117">
        <f ca="1">SUM(OFFSET(MonthAmort!$F$3,(12*A25)+1,0,12,1))</f>
        <v>0</v>
      </c>
      <c r="F26" s="117">
        <f t="shared" si="0"/>
        <v>0</v>
      </c>
      <c r="G26" s="80">
        <f t="shared" si="1"/>
        <v>0</v>
      </c>
      <c r="I26" s="81">
        <f>SUM($D$4:D26)</f>
        <v>604890.1645013005</v>
      </c>
      <c r="J26" s="76">
        <f ca="1">SUM(OFFSET(MonthAmort!$L$3,1,0,A26*12,1))</f>
        <v>604890.1645013003</v>
      </c>
      <c r="K26" s="81">
        <f>SUM($E$4:E26)</f>
        <v>1000000.0000000002</v>
      </c>
    </row>
    <row r="27" spans="1:11" ht="15" customHeight="1">
      <c r="A27" s="96">
        <v>24</v>
      </c>
      <c r="B27" s="117">
        <f t="shared" si="2"/>
        <v>0</v>
      </c>
      <c r="C27" s="117">
        <f>IF(B27=0,0,BondCalculator!$B$14*12)</f>
        <v>0</v>
      </c>
      <c r="D27" s="117">
        <f ca="1">SUM(OFFSET(MonthAmort!$E$3,(12*A26)+1,0,12,1))</f>
        <v>0</v>
      </c>
      <c r="E27" s="117">
        <f ca="1">SUM(OFFSET(MonthAmort!$F$3,(12*A26)+1,0,12,1))</f>
        <v>0</v>
      </c>
      <c r="F27" s="117">
        <f t="shared" si="0"/>
        <v>0</v>
      </c>
      <c r="G27" s="80">
        <f t="shared" si="1"/>
        <v>0</v>
      </c>
      <c r="I27" s="81">
        <f>SUM($D$4:D27)</f>
        <v>604890.1645013005</v>
      </c>
      <c r="J27" s="76">
        <f ca="1">SUM(OFFSET(MonthAmort!$L$3,1,0,A27*12,1))</f>
        <v>604890.1645013003</v>
      </c>
      <c r="K27" s="81">
        <f>SUM($E$4:E27)</f>
        <v>1000000.0000000002</v>
      </c>
    </row>
    <row r="28" spans="1:11" ht="15" customHeight="1">
      <c r="A28" s="96">
        <v>25</v>
      </c>
      <c r="B28" s="117">
        <f t="shared" si="2"/>
        <v>0</v>
      </c>
      <c r="C28" s="117">
        <f>IF(B28=0,0,BondCalculator!$B$14*12)</f>
        <v>0</v>
      </c>
      <c r="D28" s="117">
        <f ca="1">SUM(OFFSET(MonthAmort!$E$3,(12*A27)+1,0,12,1))</f>
        <v>0</v>
      </c>
      <c r="E28" s="117">
        <f ca="1">SUM(OFFSET(MonthAmort!$F$3,(12*A27)+1,0,12,1))</f>
        <v>0</v>
      </c>
      <c r="F28" s="117">
        <f t="shared" si="0"/>
        <v>0</v>
      </c>
      <c r="G28" s="80">
        <f t="shared" si="1"/>
        <v>0</v>
      </c>
      <c r="I28" s="81">
        <f>SUM($D$4:D28)</f>
        <v>604890.1645013005</v>
      </c>
      <c r="J28" s="76">
        <f ca="1">SUM(OFFSET(MonthAmort!$L$3,1,0,A28*12,1))</f>
        <v>604890.1645013003</v>
      </c>
      <c r="K28" s="81">
        <f>SUM($E$4:E28)</f>
        <v>1000000.0000000002</v>
      </c>
    </row>
    <row r="29" spans="1:11" ht="15" customHeight="1">
      <c r="A29" s="96">
        <v>26</v>
      </c>
      <c r="B29" s="117">
        <f t="shared" si="2"/>
        <v>0</v>
      </c>
      <c r="C29" s="117">
        <f>IF(B29=0,0,BondCalculator!$B$14*12)</f>
        <v>0</v>
      </c>
      <c r="D29" s="117">
        <f ca="1">SUM(OFFSET(MonthAmort!$E$3,(12*A28)+1,0,12,1))</f>
        <v>0</v>
      </c>
      <c r="E29" s="117">
        <f ca="1">SUM(OFFSET(MonthAmort!$F$3,(12*A28)+1,0,12,1))</f>
        <v>0</v>
      </c>
      <c r="F29" s="117">
        <f t="shared" si="0"/>
        <v>0</v>
      </c>
      <c r="G29" s="80">
        <f t="shared" si="1"/>
        <v>0</v>
      </c>
      <c r="I29" s="81">
        <f>SUM($D$4:D29)</f>
        <v>604890.1645013005</v>
      </c>
      <c r="J29" s="76">
        <f ca="1">SUM(OFFSET(MonthAmort!$L$3,1,0,A29*12,1))</f>
        <v>604890.1645013003</v>
      </c>
      <c r="K29" s="81">
        <f>SUM($E$4:E29)</f>
        <v>1000000.0000000002</v>
      </c>
    </row>
    <row r="30" spans="1:11" ht="15" customHeight="1">
      <c r="A30" s="96">
        <v>27</v>
      </c>
      <c r="B30" s="117">
        <f t="shared" si="2"/>
        <v>0</v>
      </c>
      <c r="C30" s="117">
        <f>IF(B30=0,0,BondCalculator!$B$14*12)</f>
        <v>0</v>
      </c>
      <c r="D30" s="117">
        <f ca="1">SUM(OFFSET(MonthAmort!$E$3,(12*A29)+1,0,12,1))</f>
        <v>0</v>
      </c>
      <c r="E30" s="117">
        <f ca="1">SUM(OFFSET(MonthAmort!$F$3,(12*A29)+1,0,12,1))</f>
        <v>0</v>
      </c>
      <c r="F30" s="117">
        <f t="shared" si="0"/>
        <v>0</v>
      </c>
      <c r="G30" s="80">
        <f t="shared" si="1"/>
        <v>0</v>
      </c>
      <c r="I30" s="81">
        <f>SUM($D$4:D30)</f>
        <v>604890.1645013005</v>
      </c>
      <c r="J30" s="76">
        <f ca="1">SUM(OFFSET(MonthAmort!$L$3,1,0,A30*12,1))</f>
        <v>604890.1645013003</v>
      </c>
      <c r="K30" s="81">
        <f>SUM($E$4:E30)</f>
        <v>1000000.0000000002</v>
      </c>
    </row>
    <row r="31" spans="1:11" ht="15" customHeight="1">
      <c r="A31" s="96">
        <v>28</v>
      </c>
      <c r="B31" s="117">
        <f t="shared" si="2"/>
        <v>0</v>
      </c>
      <c r="C31" s="117">
        <f>IF(B31=0,0,BondCalculator!$B$14*12)</f>
        <v>0</v>
      </c>
      <c r="D31" s="117">
        <f ca="1">SUM(OFFSET(MonthAmort!$E$3,(12*A30)+1,0,12,1))</f>
        <v>0</v>
      </c>
      <c r="E31" s="117">
        <f ca="1">SUM(OFFSET(MonthAmort!$F$3,(12*A30)+1,0,12,1))</f>
        <v>0</v>
      </c>
      <c r="F31" s="117">
        <f t="shared" si="0"/>
        <v>0</v>
      </c>
      <c r="G31" s="80">
        <f t="shared" si="1"/>
        <v>0</v>
      </c>
      <c r="I31" s="81">
        <f>SUM($D$4:D31)</f>
        <v>604890.1645013005</v>
      </c>
      <c r="J31" s="76">
        <f ca="1">SUM(OFFSET(MonthAmort!$L$3,1,0,A31*12,1))</f>
        <v>604890.1645013003</v>
      </c>
      <c r="K31" s="81">
        <f>SUM($E$4:E31)</f>
        <v>1000000.0000000002</v>
      </c>
    </row>
    <row r="32" spans="1:11" ht="15" customHeight="1">
      <c r="A32" s="96">
        <v>29</v>
      </c>
      <c r="B32" s="117">
        <f t="shared" si="2"/>
        <v>0</v>
      </c>
      <c r="C32" s="117">
        <f>IF(B32=0,0,BondCalculator!$B$14*12)</f>
        <v>0</v>
      </c>
      <c r="D32" s="117">
        <f ca="1">SUM(OFFSET(MonthAmort!$E$3,(12*A31)+1,0,12,1))</f>
        <v>0</v>
      </c>
      <c r="E32" s="117">
        <f ca="1">SUM(OFFSET(MonthAmort!$F$3,(12*A31)+1,0,12,1))</f>
        <v>0</v>
      </c>
      <c r="F32" s="117">
        <f t="shared" si="0"/>
        <v>0</v>
      </c>
      <c r="G32" s="80">
        <f t="shared" si="1"/>
        <v>0</v>
      </c>
      <c r="I32" s="81">
        <f>SUM($D$4:D32)</f>
        <v>604890.1645013005</v>
      </c>
      <c r="J32" s="76">
        <f ca="1">SUM(OFFSET(MonthAmort!$L$3,1,0,A32*12,1))</f>
        <v>604890.1645013003</v>
      </c>
      <c r="K32" s="81">
        <f>SUM($E$4:E32)</f>
        <v>1000000.0000000002</v>
      </c>
    </row>
    <row r="33" spans="1:11" ht="15" customHeight="1">
      <c r="A33" s="96">
        <v>30</v>
      </c>
      <c r="B33" s="117">
        <f t="shared" si="2"/>
        <v>0</v>
      </c>
      <c r="C33" s="117">
        <f>IF(B33=0,0,BondCalculator!$B$14*12)</f>
        <v>0</v>
      </c>
      <c r="D33" s="117">
        <f ca="1">SUM(OFFSET(MonthAmort!$E$3,(12*A32)+1,0,12,1))</f>
        <v>0</v>
      </c>
      <c r="E33" s="117">
        <f ca="1">SUM(OFFSET(MonthAmort!$F$3,(12*A32)+1,0,12,1))</f>
        <v>0</v>
      </c>
      <c r="F33" s="117">
        <f t="shared" si="0"/>
        <v>0</v>
      </c>
      <c r="G33" s="80">
        <f t="shared" si="1"/>
        <v>0</v>
      </c>
      <c r="I33" s="81">
        <f>SUM($D$4:D33)</f>
        <v>604890.1645013005</v>
      </c>
      <c r="J33" s="76">
        <f ca="1">SUM(OFFSET(MonthAmort!$L$3,1,0,A33*12,1))</f>
        <v>604890.1645013003</v>
      </c>
      <c r="K33" s="81">
        <f>SUM($E$4:E33)</f>
        <v>1000000.0000000002</v>
      </c>
    </row>
  </sheetData>
  <sheetProtection/>
  <printOptions/>
  <pageMargins left="0.75" right="0.75" top="1" bottom="1" header="0.5" footer="0.5"/>
  <pageSetup fitToHeight="1" fitToWidth="1" horizontalDpi="600" verticalDpi="600" orientation="portrait" paperSize="9" scale="8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364"/>
  <sheetViews>
    <sheetView zoomScale="95" zoomScaleNormal="9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4" sqref="C4"/>
    </sheetView>
  </sheetViews>
  <sheetFormatPr defaultColWidth="11.57421875" defaultRowHeight="15" customHeight="1"/>
  <cols>
    <col min="1" max="1" width="0" style="82" hidden="1" customWidth="1"/>
    <col min="2" max="2" width="15.7109375" style="82" customWidth="1"/>
    <col min="3" max="7" width="15.7109375" style="83" customWidth="1"/>
    <col min="8" max="8" width="15.7109375" style="94" customWidth="1"/>
    <col min="9" max="9" width="3.7109375" style="82" customWidth="1"/>
    <col min="10" max="14" width="15.7109375" style="84" hidden="1" customWidth="1"/>
    <col min="15" max="15" width="5.7109375" style="82" hidden="1" customWidth="1"/>
    <col min="16" max="16" width="15.7109375" style="85" hidden="1" customWidth="1"/>
    <col min="17" max="17" width="15.7109375" style="86" hidden="1" customWidth="1"/>
    <col min="18" max="18" width="5.7109375" style="85" hidden="1" customWidth="1"/>
    <col min="19" max="19" width="15.7109375" style="87" hidden="1" customWidth="1"/>
    <col min="20" max="24" width="12.7109375" style="82" customWidth="1"/>
    <col min="25" max="16384" width="11.421875" style="82" customWidth="1"/>
  </cols>
  <sheetData>
    <row r="1" spans="2:8" ht="15.75">
      <c r="B1" s="99" t="s">
        <v>144</v>
      </c>
      <c r="H1" s="15"/>
    </row>
    <row r="2" ht="15" customHeight="1">
      <c r="B2" s="97" t="s">
        <v>206</v>
      </c>
    </row>
    <row r="3" spans="2:19" s="88" customFormat="1" ht="30">
      <c r="B3" s="100" t="s">
        <v>5</v>
      </c>
      <c r="C3" s="101" t="s">
        <v>188</v>
      </c>
      <c r="D3" s="101" t="s">
        <v>3</v>
      </c>
      <c r="E3" s="101" t="s">
        <v>190</v>
      </c>
      <c r="F3" s="101" t="s">
        <v>191</v>
      </c>
      <c r="G3" s="101" t="s">
        <v>189</v>
      </c>
      <c r="H3" s="102" t="s">
        <v>4</v>
      </c>
      <c r="I3" s="89"/>
      <c r="J3" s="90" t="s">
        <v>188</v>
      </c>
      <c r="K3" s="90" t="s">
        <v>93</v>
      </c>
      <c r="L3" s="90" t="s">
        <v>190</v>
      </c>
      <c r="M3" s="90" t="s">
        <v>191</v>
      </c>
      <c r="N3" s="90" t="s">
        <v>189</v>
      </c>
      <c r="P3" s="90" t="s">
        <v>0</v>
      </c>
      <c r="Q3" s="91" t="s">
        <v>94</v>
      </c>
      <c r="R3" s="90"/>
      <c r="S3" s="92" t="s">
        <v>95</v>
      </c>
    </row>
    <row r="4" spans="1:19" ht="15" customHeight="1">
      <c r="A4" s="82" t="s">
        <v>96</v>
      </c>
      <c r="B4" s="93">
        <v>1</v>
      </c>
      <c r="C4" s="117">
        <f>BondCalculator!$B$4</f>
        <v>1000000</v>
      </c>
      <c r="D4" s="117">
        <f>BondCalculator!$B$13</f>
        <v>13000</v>
      </c>
      <c r="E4" s="117">
        <f>C4*BondCalculator!$B$7/12</f>
        <v>8333.333333333334</v>
      </c>
      <c r="F4" s="117">
        <f>D4-E4</f>
        <v>4666.666666666666</v>
      </c>
      <c r="G4" s="117">
        <f>IF(ROUND(C4-F4,0)=0,0,C4-F4)</f>
        <v>995333.3333333334</v>
      </c>
      <c r="H4" s="94">
        <f>G4/$C$4</f>
        <v>0.9953333333333334</v>
      </c>
      <c r="J4" s="85">
        <f>BondCalculator!B4</f>
        <v>1000000</v>
      </c>
      <c r="K4" s="85">
        <f>BondCalculator!$B$14+BondCalculator!$B$15</f>
        <v>13000</v>
      </c>
      <c r="L4" s="85">
        <f>J4*BondCalculator!$B$7/12</f>
        <v>8333.333333333334</v>
      </c>
      <c r="M4" s="85">
        <f>IF(K4-L4&gt;N3,N3,K4-L4)</f>
        <v>4666.666666666666</v>
      </c>
      <c r="N4" s="85">
        <f aca="true" t="shared" si="0" ref="N4:N67">J4-M4</f>
        <v>995333.3333333334</v>
      </c>
      <c r="P4" s="85">
        <f aca="true" t="shared" si="1" ref="P4:P67">E4-L4</f>
        <v>0</v>
      </c>
      <c r="Q4" s="86">
        <f>-PV(BondCalculator!$B$10/12,B4,0,1,0)</f>
        <v>0.9961813049975096</v>
      </c>
      <c r="S4" s="87">
        <f aca="true" t="shared" si="2" ref="S4:S67">P4*Q4</f>
        <v>0</v>
      </c>
    </row>
    <row r="5" spans="1:19" ht="15" customHeight="1">
      <c r="A5" s="82" t="s">
        <v>96</v>
      </c>
      <c r="B5" s="93">
        <v>2</v>
      </c>
      <c r="C5" s="117">
        <f>IF(ROUND(G4,0)=0,0,G4)</f>
        <v>995333.3333333334</v>
      </c>
      <c r="D5" s="117">
        <f>IF(G4=0,0,IF(G4&lt;BondCalculator!$B$13,G4+E5,BondCalculator!$B$13))</f>
        <v>13000</v>
      </c>
      <c r="E5" s="117">
        <f>C5*BondCalculator!$B$7/12</f>
        <v>8294.444444444445</v>
      </c>
      <c r="F5" s="117">
        <f aca="true" t="shared" si="3" ref="F5:F68">D5-E5</f>
        <v>4705.555555555555</v>
      </c>
      <c r="G5" s="117">
        <f aca="true" t="shared" si="4" ref="G5:G68">IF(ROUND(C5-F5,0)=0,0,C5-F5)</f>
        <v>990627.7777777779</v>
      </c>
      <c r="H5" s="94">
        <f aca="true" t="shared" si="5" ref="H5:H68">G5/$C$4</f>
        <v>0.9906277777777779</v>
      </c>
      <c r="J5" s="85">
        <f aca="true" t="shared" si="6" ref="J5:J68">IF(ROUND(N4,0)&gt;0,N4,0)</f>
        <v>995333.3333333334</v>
      </c>
      <c r="K5" s="85">
        <f>IF(N4=0,0,IF(N4&lt;BondCalculator!$B$14+BondCalculator!$B$15,N4+L5,BondCalculator!$B$14+BondCalculator!$B$15))</f>
        <v>13000</v>
      </c>
      <c r="L5" s="85">
        <f>J5*BondCalculator!$B$7/12</f>
        <v>8294.444444444445</v>
      </c>
      <c r="M5" s="85">
        <f aca="true" t="shared" si="7" ref="M5:M68">IF(K5-L5&gt;N4,N4,K5-L5)</f>
        <v>4705.555555555555</v>
      </c>
      <c r="N5" s="85">
        <f t="shared" si="0"/>
        <v>990627.7777777779</v>
      </c>
      <c r="P5" s="85">
        <f t="shared" si="1"/>
        <v>0</v>
      </c>
      <c r="Q5" s="86">
        <f>-PV(BondCalculator!$B$10/12,B5,0,1,0)</f>
        <v>0.9923771924265412</v>
      </c>
      <c r="S5" s="87">
        <f t="shared" si="2"/>
        <v>0</v>
      </c>
    </row>
    <row r="6" spans="1:19" ht="15" customHeight="1">
      <c r="A6" s="82" t="s">
        <v>96</v>
      </c>
      <c r="B6" s="93">
        <v>3</v>
      </c>
      <c r="C6" s="117">
        <f aca="true" t="shared" si="8" ref="C6:C69">IF(ROUND(G5,0)=0,0,G5)</f>
        <v>990627.7777777779</v>
      </c>
      <c r="D6" s="117">
        <f>IF(G5=0,0,IF(G5&lt;BondCalculator!$B$13,G5+E6,BondCalculator!$B$13))</f>
        <v>13000</v>
      </c>
      <c r="E6" s="117">
        <f>C6*BondCalculator!$B$7/12</f>
        <v>8255.231481481484</v>
      </c>
      <c r="F6" s="117">
        <f t="shared" si="3"/>
        <v>4744.768518518516</v>
      </c>
      <c r="G6" s="117">
        <f t="shared" si="4"/>
        <v>985883.0092592593</v>
      </c>
      <c r="H6" s="94">
        <f t="shared" si="5"/>
        <v>0.9858830092592593</v>
      </c>
      <c r="J6" s="85">
        <f t="shared" si="6"/>
        <v>990627.7777777779</v>
      </c>
      <c r="K6" s="85">
        <f>IF(N5=0,0,IF(N5&lt;BondCalculator!$B$14+BondCalculator!$B$15,N5+L6,BondCalculator!$B$14+BondCalculator!$B$15))</f>
        <v>13000</v>
      </c>
      <c r="L6" s="85">
        <f>J6*BondCalculator!$B$7/12</f>
        <v>8255.231481481484</v>
      </c>
      <c r="M6" s="85">
        <f t="shared" si="7"/>
        <v>4744.768518518516</v>
      </c>
      <c r="N6" s="85">
        <f t="shared" si="0"/>
        <v>985883.0092592593</v>
      </c>
      <c r="P6" s="85">
        <f t="shared" si="1"/>
        <v>0</v>
      </c>
      <c r="Q6" s="86">
        <f>-PV(BondCalculator!$B$10/12,B6,0,1,0)</f>
        <v>0.9885876066012363</v>
      </c>
      <c r="S6" s="87">
        <f t="shared" si="2"/>
        <v>0</v>
      </c>
    </row>
    <row r="7" spans="1:19" ht="15" customHeight="1">
      <c r="A7" s="82" t="s">
        <v>96</v>
      </c>
      <c r="B7" s="93">
        <v>4</v>
      </c>
      <c r="C7" s="117">
        <f t="shared" si="8"/>
        <v>985883.0092592593</v>
      </c>
      <c r="D7" s="117">
        <f>IF(G6=0,0,IF(G6&lt;BondCalculator!$B$13,G6+E7,BondCalculator!$B$13))</f>
        <v>13000</v>
      </c>
      <c r="E7" s="117">
        <f>C7*BondCalculator!$B$7/12</f>
        <v>8215.691743827161</v>
      </c>
      <c r="F7" s="117">
        <f t="shared" si="3"/>
        <v>4784.308256172839</v>
      </c>
      <c r="G7" s="117">
        <f t="shared" si="4"/>
        <v>981098.7010030865</v>
      </c>
      <c r="H7" s="94">
        <f t="shared" si="5"/>
        <v>0.9810987010030865</v>
      </c>
      <c r="J7" s="85">
        <f t="shared" si="6"/>
        <v>985883.0092592593</v>
      </c>
      <c r="K7" s="85">
        <f>IF(N6=0,0,IF(N6&lt;BondCalculator!$B$14+BondCalculator!$B$15,N6+L7,BondCalculator!$B$14+BondCalculator!$B$15))</f>
        <v>13000</v>
      </c>
      <c r="L7" s="85">
        <f>J7*BondCalculator!$B$7/12</f>
        <v>8215.691743827161</v>
      </c>
      <c r="M7" s="85">
        <f t="shared" si="7"/>
        <v>4784.308256172839</v>
      </c>
      <c r="N7" s="85">
        <f t="shared" si="0"/>
        <v>981098.7010030865</v>
      </c>
      <c r="P7" s="85">
        <f t="shared" si="1"/>
        <v>0</v>
      </c>
      <c r="Q7" s="86">
        <f>-PV(BondCalculator!$B$10/12,B7,0,1,0)</f>
        <v>0.9848124920483844</v>
      </c>
      <c r="S7" s="87">
        <f t="shared" si="2"/>
        <v>0</v>
      </c>
    </row>
    <row r="8" spans="1:19" ht="15" customHeight="1">
      <c r="A8" s="82" t="s">
        <v>96</v>
      </c>
      <c r="B8" s="93">
        <v>5</v>
      </c>
      <c r="C8" s="117">
        <f t="shared" si="8"/>
        <v>981098.7010030865</v>
      </c>
      <c r="D8" s="117">
        <f>IF(G7=0,0,IF(G7&lt;BondCalculator!$B$13,G7+E8,BondCalculator!$B$13))</f>
        <v>13000</v>
      </c>
      <c r="E8" s="117">
        <f>C8*BondCalculator!$B$7/12</f>
        <v>8175.822508359055</v>
      </c>
      <c r="F8" s="117">
        <f t="shared" si="3"/>
        <v>4824.177491640945</v>
      </c>
      <c r="G8" s="117">
        <f t="shared" si="4"/>
        <v>976274.5235114456</v>
      </c>
      <c r="H8" s="94">
        <f t="shared" si="5"/>
        <v>0.9762745235114456</v>
      </c>
      <c r="J8" s="85">
        <f t="shared" si="6"/>
        <v>981098.7010030865</v>
      </c>
      <c r="K8" s="85">
        <f>IF(N7=0,0,IF(N7&lt;BondCalculator!$B$14+BondCalculator!$B$15,N7+L8,BondCalculator!$B$14+BondCalculator!$B$15))</f>
        <v>13000</v>
      </c>
      <c r="L8" s="85">
        <f>J8*BondCalculator!$B$7/12</f>
        <v>8175.822508359055</v>
      </c>
      <c r="M8" s="85">
        <f t="shared" si="7"/>
        <v>4824.177491640945</v>
      </c>
      <c r="N8" s="85">
        <f t="shared" si="0"/>
        <v>976274.5235114456</v>
      </c>
      <c r="P8" s="85">
        <f t="shared" si="1"/>
        <v>0</v>
      </c>
      <c r="Q8" s="86">
        <f>-PV(BondCalculator!$B$10/12,B8,0,1,0)</f>
        <v>0.981051793506609</v>
      </c>
      <c r="S8" s="87">
        <f t="shared" si="2"/>
        <v>0</v>
      </c>
    </row>
    <row r="9" spans="1:19" ht="15" customHeight="1">
      <c r="A9" s="82" t="s">
        <v>96</v>
      </c>
      <c r="B9" s="93">
        <v>6</v>
      </c>
      <c r="C9" s="117">
        <f t="shared" si="8"/>
        <v>976274.5235114456</v>
      </c>
      <c r="D9" s="117">
        <f>IF(G8=0,0,IF(G8&lt;BondCalculator!$B$13,G8+E9,BondCalculator!$B$13))</f>
        <v>13000</v>
      </c>
      <c r="E9" s="117">
        <f>C9*BondCalculator!$B$7/12</f>
        <v>8135.621029262048</v>
      </c>
      <c r="F9" s="117">
        <f t="shared" si="3"/>
        <v>4864.378970737952</v>
      </c>
      <c r="G9" s="117">
        <f t="shared" si="4"/>
        <v>971410.1445407077</v>
      </c>
      <c r="H9" s="94">
        <f t="shared" si="5"/>
        <v>0.9714101445407077</v>
      </c>
      <c r="J9" s="85">
        <f t="shared" si="6"/>
        <v>976274.5235114456</v>
      </c>
      <c r="K9" s="85">
        <f>IF(N8=0,0,IF(N8&lt;BondCalculator!$B$14+BondCalculator!$B$15,N8+L9,BondCalculator!$B$14+BondCalculator!$B$15))</f>
        <v>13000</v>
      </c>
      <c r="L9" s="85">
        <f>J9*BondCalculator!$B$7/12</f>
        <v>8135.621029262048</v>
      </c>
      <c r="M9" s="85">
        <f t="shared" si="7"/>
        <v>4864.378970737952</v>
      </c>
      <c r="N9" s="85">
        <f t="shared" si="0"/>
        <v>971410.1445407077</v>
      </c>
      <c r="P9" s="85">
        <f t="shared" si="1"/>
        <v>0</v>
      </c>
      <c r="Q9" s="86">
        <f>-PV(BondCalculator!$B$10/12,B9,0,1,0)</f>
        <v>0.9773054559255611</v>
      </c>
      <c r="S9" s="87">
        <f t="shared" si="2"/>
        <v>0</v>
      </c>
    </row>
    <row r="10" spans="1:19" ht="15" customHeight="1">
      <c r="A10" s="82" t="s">
        <v>96</v>
      </c>
      <c r="B10" s="93">
        <v>7</v>
      </c>
      <c r="C10" s="117">
        <f t="shared" si="8"/>
        <v>971410.1445407077</v>
      </c>
      <c r="D10" s="117">
        <f>IF(G9=0,0,IF(G9&lt;BondCalculator!$B$13,G9+E10,BondCalculator!$B$13))</f>
        <v>13000</v>
      </c>
      <c r="E10" s="117">
        <f>C10*BondCalculator!$B$7/12</f>
        <v>8095.0845378392305</v>
      </c>
      <c r="F10" s="117">
        <f t="shared" si="3"/>
        <v>4904.9154621607695</v>
      </c>
      <c r="G10" s="117">
        <f t="shared" si="4"/>
        <v>966505.229078547</v>
      </c>
      <c r="H10" s="94">
        <f t="shared" si="5"/>
        <v>0.966505229078547</v>
      </c>
      <c r="J10" s="85">
        <f t="shared" si="6"/>
        <v>971410.1445407077</v>
      </c>
      <c r="K10" s="85">
        <f>IF(N9=0,0,IF(N9&lt;BondCalculator!$B$14+BondCalculator!$B$15,N9+L10,BondCalculator!$B$14+BondCalculator!$B$15))</f>
        <v>13000</v>
      </c>
      <c r="L10" s="85">
        <f>J10*BondCalculator!$B$7/12</f>
        <v>8095.0845378392305</v>
      </c>
      <c r="M10" s="85">
        <f t="shared" si="7"/>
        <v>4904.9154621607695</v>
      </c>
      <c r="N10" s="85">
        <f t="shared" si="0"/>
        <v>966505.229078547</v>
      </c>
      <c r="P10" s="85">
        <f t="shared" si="1"/>
        <v>0</v>
      </c>
      <c r="Q10" s="86">
        <f>-PV(BondCalculator!$B$10/12,B10,0,1,0)</f>
        <v>0.9735734244651114</v>
      </c>
      <c r="S10" s="87">
        <f t="shared" si="2"/>
        <v>0</v>
      </c>
    </row>
    <row r="11" spans="1:19" ht="15" customHeight="1">
      <c r="A11" s="82" t="s">
        <v>96</v>
      </c>
      <c r="B11" s="93">
        <v>8</v>
      </c>
      <c r="C11" s="117">
        <f t="shared" si="8"/>
        <v>966505.229078547</v>
      </c>
      <c r="D11" s="117">
        <f>IF(G10=0,0,IF(G10&lt;BondCalculator!$B$13,G10+E11,BondCalculator!$B$13))</f>
        <v>13000</v>
      </c>
      <c r="E11" s="117">
        <f>C11*BondCalculator!$B$7/12</f>
        <v>8054.2102423212245</v>
      </c>
      <c r="F11" s="117">
        <f t="shared" si="3"/>
        <v>4945.7897576787755</v>
      </c>
      <c r="G11" s="117">
        <f t="shared" si="4"/>
        <v>961559.4393208682</v>
      </c>
      <c r="H11" s="94">
        <f t="shared" si="5"/>
        <v>0.9615594393208682</v>
      </c>
      <c r="J11" s="85">
        <f t="shared" si="6"/>
        <v>966505.229078547</v>
      </c>
      <c r="K11" s="85">
        <f>IF(N10=0,0,IF(N10&lt;BondCalculator!$B$14+BondCalculator!$B$15,N10+L11,BondCalculator!$B$14+BondCalculator!$B$15))</f>
        <v>13000</v>
      </c>
      <c r="L11" s="85">
        <f>J11*BondCalculator!$B$7/12</f>
        <v>8054.2102423212245</v>
      </c>
      <c r="M11" s="85">
        <f t="shared" si="7"/>
        <v>4945.7897576787755</v>
      </c>
      <c r="N11" s="85">
        <f t="shared" si="0"/>
        <v>961559.4393208682</v>
      </c>
      <c r="P11" s="85">
        <f t="shared" si="1"/>
        <v>0</v>
      </c>
      <c r="Q11" s="86">
        <f>-PV(BondCalculator!$B$10/12,B11,0,1,0)</f>
        <v>0.9698556444945491</v>
      </c>
      <c r="S11" s="87">
        <f t="shared" si="2"/>
        <v>0</v>
      </c>
    </row>
    <row r="12" spans="1:19" ht="15" customHeight="1">
      <c r="A12" s="82" t="s">
        <v>96</v>
      </c>
      <c r="B12" s="93">
        <v>9</v>
      </c>
      <c r="C12" s="117">
        <f t="shared" si="8"/>
        <v>961559.4393208682</v>
      </c>
      <c r="D12" s="117">
        <f>IF(G11=0,0,IF(G11&lt;BondCalculator!$B$13,G11+E12,BondCalculator!$B$13))</f>
        <v>13000</v>
      </c>
      <c r="E12" s="117">
        <f>C12*BondCalculator!$B$7/12</f>
        <v>8012.9953276739025</v>
      </c>
      <c r="F12" s="117">
        <f t="shared" si="3"/>
        <v>4987.0046723260975</v>
      </c>
      <c r="G12" s="117">
        <f t="shared" si="4"/>
        <v>956572.4346485421</v>
      </c>
      <c r="H12" s="94">
        <f t="shared" si="5"/>
        <v>0.9565724346485421</v>
      </c>
      <c r="J12" s="85">
        <f t="shared" si="6"/>
        <v>961559.4393208682</v>
      </c>
      <c r="K12" s="85">
        <f>IF(N11=0,0,IF(N11&lt;BondCalculator!$B$14+BondCalculator!$B$15,N11+L12,BondCalculator!$B$14+BondCalculator!$B$15))</f>
        <v>13000</v>
      </c>
      <c r="L12" s="85">
        <f>J12*BondCalculator!$B$7/12</f>
        <v>8012.9953276739025</v>
      </c>
      <c r="M12" s="85">
        <f t="shared" si="7"/>
        <v>4987.0046723260975</v>
      </c>
      <c r="N12" s="85">
        <f t="shared" si="0"/>
        <v>956572.4346485421</v>
      </c>
      <c r="P12" s="85">
        <f t="shared" si="1"/>
        <v>0</v>
      </c>
      <c r="Q12" s="86">
        <f>-PV(BondCalculator!$B$10/12,B12,0,1,0)</f>
        <v>0.9661520615917805</v>
      </c>
      <c r="S12" s="87">
        <f t="shared" si="2"/>
        <v>0</v>
      </c>
    </row>
    <row r="13" spans="1:19" ht="15" customHeight="1">
      <c r="A13" s="82" t="s">
        <v>96</v>
      </c>
      <c r="B13" s="93">
        <v>10</v>
      </c>
      <c r="C13" s="117">
        <f t="shared" si="8"/>
        <v>956572.4346485421</v>
      </c>
      <c r="D13" s="117">
        <f>IF(G12=0,0,IF(G12&lt;BondCalculator!$B$13,G12+E13,BondCalculator!$B$13))</f>
        <v>13000</v>
      </c>
      <c r="E13" s="117">
        <f>C13*BondCalculator!$B$7/12</f>
        <v>7971.436955404518</v>
      </c>
      <c r="F13" s="117">
        <f t="shared" si="3"/>
        <v>5028.563044595482</v>
      </c>
      <c r="G13" s="117">
        <f t="shared" si="4"/>
        <v>951543.8716039466</v>
      </c>
      <c r="H13" s="94">
        <f t="shared" si="5"/>
        <v>0.9515438716039466</v>
      </c>
      <c r="J13" s="85">
        <f t="shared" si="6"/>
        <v>956572.4346485421</v>
      </c>
      <c r="K13" s="85">
        <f>IF(N12=0,0,IF(N12&lt;BondCalculator!$B$14+BondCalculator!$B$15,N12+L13,BondCalculator!$B$14+BondCalculator!$B$15))</f>
        <v>13000</v>
      </c>
      <c r="L13" s="85">
        <f>J13*BondCalculator!$B$7/12</f>
        <v>7971.436955404518</v>
      </c>
      <c r="M13" s="85">
        <f t="shared" si="7"/>
        <v>5028.563044595482</v>
      </c>
      <c r="N13" s="85">
        <f t="shared" si="0"/>
        <v>951543.8716039466</v>
      </c>
      <c r="P13" s="85">
        <f t="shared" si="1"/>
        <v>0</v>
      </c>
      <c r="Q13" s="86">
        <f>-PV(BondCalculator!$B$10/12,B13,0,1,0)</f>
        <v>0.9624626215425341</v>
      </c>
      <c r="S13" s="87">
        <f t="shared" si="2"/>
        <v>0</v>
      </c>
    </row>
    <row r="14" spans="1:19" ht="15" customHeight="1">
      <c r="A14" s="82" t="s">
        <v>96</v>
      </c>
      <c r="B14" s="93">
        <v>11</v>
      </c>
      <c r="C14" s="117">
        <f t="shared" si="8"/>
        <v>951543.8716039466</v>
      </c>
      <c r="D14" s="117">
        <f>IF(G13=0,0,IF(G13&lt;BondCalculator!$B$13,G13+E14,BondCalculator!$B$13))</f>
        <v>13000</v>
      </c>
      <c r="E14" s="117">
        <f>C14*BondCalculator!$B$7/12</f>
        <v>7929.532263366222</v>
      </c>
      <c r="F14" s="117">
        <f t="shared" si="3"/>
        <v>5070.467736633778</v>
      </c>
      <c r="G14" s="117">
        <f t="shared" si="4"/>
        <v>946473.4038673128</v>
      </c>
      <c r="H14" s="94">
        <f t="shared" si="5"/>
        <v>0.9464734038673128</v>
      </c>
      <c r="J14" s="85">
        <f t="shared" si="6"/>
        <v>951543.8716039466</v>
      </c>
      <c r="K14" s="85">
        <f>IF(N13=0,0,IF(N13&lt;BondCalculator!$B$14+BondCalculator!$B$15,N13+L14,BondCalculator!$B$14+BondCalculator!$B$15))</f>
        <v>13000</v>
      </c>
      <c r="L14" s="85">
        <f>J14*BondCalculator!$B$7/12</f>
        <v>7929.532263366222</v>
      </c>
      <c r="M14" s="85">
        <f t="shared" si="7"/>
        <v>5070.467736633778</v>
      </c>
      <c r="N14" s="85">
        <f t="shared" si="0"/>
        <v>946473.4038673128</v>
      </c>
      <c r="P14" s="85">
        <f t="shared" si="1"/>
        <v>0</v>
      </c>
      <c r="Q14" s="86">
        <f>-PV(BondCalculator!$B$10/12,B14,0,1,0)</f>
        <v>0.9587872703395659</v>
      </c>
      <c r="S14" s="87">
        <f t="shared" si="2"/>
        <v>0</v>
      </c>
    </row>
    <row r="15" spans="1:19" ht="15" customHeight="1">
      <c r="A15" s="82" t="s">
        <v>96</v>
      </c>
      <c r="B15" s="93">
        <v>12</v>
      </c>
      <c r="C15" s="117">
        <f t="shared" si="8"/>
        <v>946473.4038673128</v>
      </c>
      <c r="D15" s="117">
        <f>IF(G14=0,0,IF(G14&lt;BondCalculator!$B$13,G14+E15,BondCalculator!$B$13))</f>
        <v>13000</v>
      </c>
      <c r="E15" s="117">
        <f>C15*BondCalculator!$B$7/12</f>
        <v>7887.278365560941</v>
      </c>
      <c r="F15" s="117">
        <f t="shared" si="3"/>
        <v>5112.721634439059</v>
      </c>
      <c r="G15" s="117">
        <f t="shared" si="4"/>
        <v>941360.6822328737</v>
      </c>
      <c r="H15" s="94">
        <f t="shared" si="5"/>
        <v>0.9413606822328737</v>
      </c>
      <c r="J15" s="85">
        <f t="shared" si="6"/>
        <v>946473.4038673128</v>
      </c>
      <c r="K15" s="85">
        <f>IF(N14=0,0,IF(N14&lt;BondCalculator!$B$14+BondCalculator!$B$15,N14+L15,BondCalculator!$B$14+BondCalculator!$B$15))</f>
        <v>13000</v>
      </c>
      <c r="L15" s="85">
        <f>J15*BondCalculator!$B$7/12</f>
        <v>7887.278365560941</v>
      </c>
      <c r="M15" s="85">
        <f t="shared" si="7"/>
        <v>5112.721634439059</v>
      </c>
      <c r="N15" s="85">
        <f t="shared" si="0"/>
        <v>941360.6822328737</v>
      </c>
      <c r="P15" s="85">
        <f t="shared" si="1"/>
        <v>0</v>
      </c>
      <c r="Q15" s="86">
        <f>-PV(BondCalculator!$B$10/12,B15,0,1,0)</f>
        <v>0.9551259541818687</v>
      </c>
      <c r="S15" s="87">
        <f t="shared" si="2"/>
        <v>0</v>
      </c>
    </row>
    <row r="16" spans="1:19" ht="15" customHeight="1">
      <c r="A16" s="82" t="s">
        <v>97</v>
      </c>
      <c r="B16" s="93">
        <v>13</v>
      </c>
      <c r="C16" s="117">
        <f t="shared" si="8"/>
        <v>941360.6822328737</v>
      </c>
      <c r="D16" s="117">
        <f>IF(G15=0,0,IF(G15&lt;BondCalculator!$B$13,G15+E16,BondCalculator!$B$13))</f>
        <v>13000</v>
      </c>
      <c r="E16" s="117">
        <f>C16*BondCalculator!$B$7/12</f>
        <v>7844.672351940615</v>
      </c>
      <c r="F16" s="117">
        <f t="shared" si="3"/>
        <v>5155.327648059385</v>
      </c>
      <c r="G16" s="117">
        <f t="shared" si="4"/>
        <v>936205.3545848144</v>
      </c>
      <c r="H16" s="94">
        <f t="shared" si="5"/>
        <v>0.9362053545848144</v>
      </c>
      <c r="J16" s="85">
        <f t="shared" si="6"/>
        <v>941360.6822328737</v>
      </c>
      <c r="K16" s="85">
        <f>IF(N15=0,0,IF(N15&lt;BondCalculator!$B$14+BondCalculator!$B$15,N15+L16,BondCalculator!$B$14+BondCalculator!$B$15))</f>
        <v>13000</v>
      </c>
      <c r="L16" s="85">
        <f>J16*BondCalculator!$B$7/12</f>
        <v>7844.672351940615</v>
      </c>
      <c r="M16" s="85">
        <f t="shared" si="7"/>
        <v>5155.327648059385</v>
      </c>
      <c r="N16" s="85">
        <f t="shared" si="0"/>
        <v>936205.3545848144</v>
      </c>
      <c r="P16" s="85">
        <f t="shared" si="1"/>
        <v>0</v>
      </c>
      <c r="Q16" s="86">
        <f>-PV(BondCalculator!$B$10/12,B16,0,1,0)</f>
        <v>0.9514786194738857</v>
      </c>
      <c r="S16" s="87">
        <f t="shared" si="2"/>
        <v>0</v>
      </c>
    </row>
    <row r="17" spans="1:19" ht="15" customHeight="1">
      <c r="A17" s="82" t="s">
        <v>97</v>
      </c>
      <c r="B17" s="93">
        <v>14</v>
      </c>
      <c r="C17" s="117">
        <f t="shared" si="8"/>
        <v>936205.3545848144</v>
      </c>
      <c r="D17" s="117">
        <f>IF(G16=0,0,IF(G16&lt;BondCalculator!$B$13,G16+E17,BondCalculator!$B$13))</f>
        <v>13000</v>
      </c>
      <c r="E17" s="117">
        <f>C17*BondCalculator!$B$7/12</f>
        <v>7801.711288206788</v>
      </c>
      <c r="F17" s="117">
        <f t="shared" si="3"/>
        <v>5198.288711793212</v>
      </c>
      <c r="G17" s="117">
        <f t="shared" si="4"/>
        <v>931007.0658730211</v>
      </c>
      <c r="H17" s="94">
        <f t="shared" si="5"/>
        <v>0.9310070658730212</v>
      </c>
      <c r="J17" s="85">
        <f t="shared" si="6"/>
        <v>936205.3545848144</v>
      </c>
      <c r="K17" s="85">
        <f>IF(N16=0,0,IF(N16&lt;BondCalculator!$B$14+BondCalculator!$B$15,N16+L17,BondCalculator!$B$14+BondCalculator!$B$15))</f>
        <v>13000</v>
      </c>
      <c r="L17" s="85">
        <f>J17*BondCalculator!$B$7/12</f>
        <v>7801.711288206788</v>
      </c>
      <c r="M17" s="85">
        <f t="shared" si="7"/>
        <v>5198.288711793212</v>
      </c>
      <c r="N17" s="85">
        <f t="shared" si="0"/>
        <v>931007.0658730211</v>
      </c>
      <c r="P17" s="85">
        <f t="shared" si="1"/>
        <v>0</v>
      </c>
      <c r="Q17" s="86">
        <f>-PV(BondCalculator!$B$10/12,B17,0,1,0)</f>
        <v>0.947845212824724</v>
      </c>
      <c r="S17" s="87">
        <f t="shared" si="2"/>
        <v>0</v>
      </c>
    </row>
    <row r="18" spans="1:19" ht="15" customHeight="1">
      <c r="A18" s="82" t="s">
        <v>97</v>
      </c>
      <c r="B18" s="93">
        <v>15</v>
      </c>
      <c r="C18" s="117">
        <f t="shared" si="8"/>
        <v>931007.0658730211</v>
      </c>
      <c r="D18" s="117">
        <f>IF(G17=0,0,IF(G17&lt;BondCalculator!$B$13,G17+E18,BondCalculator!$B$13))</f>
        <v>13000</v>
      </c>
      <c r="E18" s="117">
        <f>C18*BondCalculator!$B$7/12</f>
        <v>7758.39221560851</v>
      </c>
      <c r="F18" s="117">
        <f t="shared" si="3"/>
        <v>5241.60778439149</v>
      </c>
      <c r="G18" s="117">
        <f t="shared" si="4"/>
        <v>925765.4580886296</v>
      </c>
      <c r="H18" s="94">
        <f t="shared" si="5"/>
        <v>0.9257654580886296</v>
      </c>
      <c r="J18" s="85">
        <f t="shared" si="6"/>
        <v>931007.0658730211</v>
      </c>
      <c r="K18" s="85">
        <f>IF(N17=0,0,IF(N17&lt;BondCalculator!$B$14+BondCalculator!$B$15,N17+L18,BondCalculator!$B$14+BondCalculator!$B$15))</f>
        <v>13000</v>
      </c>
      <c r="L18" s="85">
        <f>J18*BondCalculator!$B$7/12</f>
        <v>7758.39221560851</v>
      </c>
      <c r="M18" s="85">
        <f t="shared" si="7"/>
        <v>5241.60778439149</v>
      </c>
      <c r="N18" s="85">
        <f t="shared" si="0"/>
        <v>925765.4580886296</v>
      </c>
      <c r="P18" s="85">
        <f t="shared" si="1"/>
        <v>0</v>
      </c>
      <c r="Q18" s="86">
        <f>-PV(BondCalculator!$B$10/12,B18,0,1,0)</f>
        <v>0.9442256810473758</v>
      </c>
      <c r="S18" s="87">
        <f t="shared" si="2"/>
        <v>0</v>
      </c>
    </row>
    <row r="19" spans="1:19" ht="15" customHeight="1">
      <c r="A19" s="82" t="s">
        <v>97</v>
      </c>
      <c r="B19" s="93">
        <v>16</v>
      </c>
      <c r="C19" s="117">
        <f t="shared" si="8"/>
        <v>925765.4580886296</v>
      </c>
      <c r="D19" s="117">
        <f>IF(G18=0,0,IF(G18&lt;BondCalculator!$B$13,G18+E19,BondCalculator!$B$13))</f>
        <v>13000</v>
      </c>
      <c r="E19" s="117">
        <f>C19*BondCalculator!$B$7/12</f>
        <v>7714.712150738581</v>
      </c>
      <c r="F19" s="117">
        <f t="shared" si="3"/>
        <v>5285.287849261419</v>
      </c>
      <c r="G19" s="117">
        <f t="shared" si="4"/>
        <v>920480.1702393682</v>
      </c>
      <c r="H19" s="94">
        <f t="shared" si="5"/>
        <v>0.9204801702393682</v>
      </c>
      <c r="J19" s="85">
        <f t="shared" si="6"/>
        <v>925765.4580886296</v>
      </c>
      <c r="K19" s="85">
        <f>IF(N18=0,0,IF(N18&lt;BondCalculator!$B$14+BondCalculator!$B$15,N18+L19,BondCalculator!$B$14+BondCalculator!$B$15))</f>
        <v>13000</v>
      </c>
      <c r="L19" s="85">
        <f>J19*BondCalculator!$B$7/12</f>
        <v>7714.712150738581</v>
      </c>
      <c r="M19" s="85">
        <f t="shared" si="7"/>
        <v>5285.287849261419</v>
      </c>
      <c r="N19" s="85">
        <f t="shared" si="0"/>
        <v>920480.1702393682</v>
      </c>
      <c r="P19" s="85">
        <f t="shared" si="1"/>
        <v>0</v>
      </c>
      <c r="Q19" s="86">
        <f>-PV(BondCalculator!$B$10/12,B19,0,1,0)</f>
        <v>0.9406199711579372</v>
      </c>
      <c r="S19" s="87">
        <f t="shared" si="2"/>
        <v>0</v>
      </c>
    </row>
    <row r="20" spans="1:19" ht="15" customHeight="1">
      <c r="A20" s="82" t="s">
        <v>97</v>
      </c>
      <c r="B20" s="93">
        <v>17</v>
      </c>
      <c r="C20" s="117">
        <f t="shared" si="8"/>
        <v>920480.1702393682</v>
      </c>
      <c r="D20" s="117">
        <f>IF(G19=0,0,IF(G19&lt;BondCalculator!$B$13,G19+E20,BondCalculator!$B$13))</f>
        <v>13000</v>
      </c>
      <c r="E20" s="117">
        <f>C20*BondCalculator!$B$7/12</f>
        <v>7670.6680853280695</v>
      </c>
      <c r="F20" s="117">
        <f t="shared" si="3"/>
        <v>5329.3319146719305</v>
      </c>
      <c r="G20" s="117">
        <f t="shared" si="4"/>
        <v>915150.8383246963</v>
      </c>
      <c r="H20" s="94">
        <f t="shared" si="5"/>
        <v>0.9151508383246962</v>
      </c>
      <c r="J20" s="85">
        <f t="shared" si="6"/>
        <v>920480.1702393682</v>
      </c>
      <c r="K20" s="85">
        <f>IF(N19=0,0,IF(N19&lt;BondCalculator!$B$14+BondCalculator!$B$15,N19+L20,BondCalculator!$B$14+BondCalculator!$B$15))</f>
        <v>13000</v>
      </c>
      <c r="L20" s="85">
        <f>J20*BondCalculator!$B$7/12</f>
        <v>7670.6680853280695</v>
      </c>
      <c r="M20" s="85">
        <f t="shared" si="7"/>
        <v>5329.3319146719305</v>
      </c>
      <c r="N20" s="85">
        <f t="shared" si="0"/>
        <v>915150.8383246963</v>
      </c>
      <c r="P20" s="85">
        <f t="shared" si="1"/>
        <v>0</v>
      </c>
      <c r="Q20" s="86">
        <f>-PV(BondCalculator!$B$10/12,B20,0,1,0)</f>
        <v>0.9370280303748336</v>
      </c>
      <c r="S20" s="87">
        <f t="shared" si="2"/>
        <v>0</v>
      </c>
    </row>
    <row r="21" spans="1:19" ht="15" customHeight="1">
      <c r="A21" s="82" t="s">
        <v>97</v>
      </c>
      <c r="B21" s="93">
        <v>18</v>
      </c>
      <c r="C21" s="117">
        <f t="shared" si="8"/>
        <v>915150.8383246963</v>
      </c>
      <c r="D21" s="117">
        <f>IF(G20=0,0,IF(G20&lt;BondCalculator!$B$13,G20+E21,BondCalculator!$B$13))</f>
        <v>13000</v>
      </c>
      <c r="E21" s="117">
        <f>C21*BondCalculator!$B$7/12</f>
        <v>7626.256986039137</v>
      </c>
      <c r="F21" s="117">
        <f t="shared" si="3"/>
        <v>5373.743013960863</v>
      </c>
      <c r="G21" s="117">
        <f t="shared" si="4"/>
        <v>909777.0953107354</v>
      </c>
      <c r="H21" s="94">
        <f t="shared" si="5"/>
        <v>0.9097770953107354</v>
      </c>
      <c r="J21" s="85">
        <f t="shared" si="6"/>
        <v>915150.8383246963</v>
      </c>
      <c r="K21" s="85">
        <f>IF(N20=0,0,IF(N20&lt;BondCalculator!$B$14+BondCalculator!$B$15,N20+L21,BondCalculator!$B$14+BondCalculator!$B$15))</f>
        <v>13000</v>
      </c>
      <c r="L21" s="85">
        <f>J21*BondCalculator!$B$7/12</f>
        <v>7626.256986039137</v>
      </c>
      <c r="M21" s="85">
        <f t="shared" si="7"/>
        <v>5373.743013960863</v>
      </c>
      <c r="N21" s="85">
        <f t="shared" si="0"/>
        <v>909777.0953107354</v>
      </c>
      <c r="P21" s="85">
        <f t="shared" si="1"/>
        <v>0</v>
      </c>
      <c r="Q21" s="86">
        <f>-PV(BondCalculator!$B$10/12,B21,0,1,0)</f>
        <v>0.9334498061180478</v>
      </c>
      <c r="S21" s="87">
        <f t="shared" si="2"/>
        <v>0</v>
      </c>
    </row>
    <row r="22" spans="1:19" ht="15" customHeight="1">
      <c r="A22" s="82" t="s">
        <v>97</v>
      </c>
      <c r="B22" s="93">
        <v>19</v>
      </c>
      <c r="C22" s="117">
        <f t="shared" si="8"/>
        <v>909777.0953107354</v>
      </c>
      <c r="D22" s="117">
        <f>IF(G21=0,0,IF(G21&lt;BondCalculator!$B$13,G21+E22,BondCalculator!$B$13))</f>
        <v>13000</v>
      </c>
      <c r="E22" s="117">
        <f>C22*BondCalculator!$B$7/12</f>
        <v>7581.475794256129</v>
      </c>
      <c r="F22" s="117">
        <f t="shared" si="3"/>
        <v>5418.524205743871</v>
      </c>
      <c r="G22" s="117">
        <f t="shared" si="4"/>
        <v>904358.5711049915</v>
      </c>
      <c r="H22" s="94">
        <f t="shared" si="5"/>
        <v>0.9043585711049915</v>
      </c>
      <c r="J22" s="85">
        <f t="shared" si="6"/>
        <v>909777.0953107354</v>
      </c>
      <c r="K22" s="85">
        <f>IF(N21=0,0,IF(N21&lt;BondCalculator!$B$14+BondCalculator!$B$15,N21+L22,BondCalculator!$B$14+BondCalculator!$B$15))</f>
        <v>13000</v>
      </c>
      <c r="L22" s="85">
        <f>J22*BondCalculator!$B$7/12</f>
        <v>7581.475794256129</v>
      </c>
      <c r="M22" s="85">
        <f t="shared" si="7"/>
        <v>5418.524205743871</v>
      </c>
      <c r="N22" s="85">
        <f t="shared" si="0"/>
        <v>904358.5711049915</v>
      </c>
      <c r="P22" s="85">
        <f t="shared" si="1"/>
        <v>0</v>
      </c>
      <c r="Q22" s="86">
        <f>-PV(BondCalculator!$B$10/12,B22,0,1,0)</f>
        <v>0.9298852460083491</v>
      </c>
      <c r="S22" s="87">
        <f t="shared" si="2"/>
        <v>0</v>
      </c>
    </row>
    <row r="23" spans="1:19" ht="15" customHeight="1">
      <c r="A23" s="82" t="s">
        <v>97</v>
      </c>
      <c r="B23" s="93">
        <v>20</v>
      </c>
      <c r="C23" s="117">
        <f t="shared" si="8"/>
        <v>904358.5711049915</v>
      </c>
      <c r="D23" s="117">
        <f>IF(G22=0,0,IF(G22&lt;BondCalculator!$B$13,G22+E23,BondCalculator!$B$13))</f>
        <v>13000</v>
      </c>
      <c r="E23" s="117">
        <f>C23*BondCalculator!$B$7/12</f>
        <v>7536.321425874929</v>
      </c>
      <c r="F23" s="117">
        <f t="shared" si="3"/>
        <v>5463.678574125071</v>
      </c>
      <c r="G23" s="117">
        <f t="shared" si="4"/>
        <v>898894.8925308664</v>
      </c>
      <c r="H23" s="94">
        <f t="shared" si="5"/>
        <v>0.8988948925308664</v>
      </c>
      <c r="J23" s="85">
        <f t="shared" si="6"/>
        <v>904358.5711049915</v>
      </c>
      <c r="K23" s="85">
        <f>IF(N22=0,0,IF(N22&lt;BondCalculator!$B$14+BondCalculator!$B$15,N22+L23,BondCalculator!$B$14+BondCalculator!$B$15))</f>
        <v>13000</v>
      </c>
      <c r="L23" s="85">
        <f>J23*BondCalculator!$B$7/12</f>
        <v>7536.321425874929</v>
      </c>
      <c r="M23" s="85">
        <f t="shared" si="7"/>
        <v>5463.678574125071</v>
      </c>
      <c r="N23" s="85">
        <f t="shared" si="0"/>
        <v>898894.8925308664</v>
      </c>
      <c r="P23" s="85">
        <f t="shared" si="1"/>
        <v>0</v>
      </c>
      <c r="Q23" s="86">
        <f>-PV(BondCalculator!$B$10/12,B23,0,1,0)</f>
        <v>0.9263342978665277</v>
      </c>
      <c r="S23" s="87">
        <f t="shared" si="2"/>
        <v>0</v>
      </c>
    </row>
    <row r="24" spans="1:19" ht="15" customHeight="1">
      <c r="A24" s="82" t="s">
        <v>97</v>
      </c>
      <c r="B24" s="93">
        <v>21</v>
      </c>
      <c r="C24" s="117">
        <f t="shared" si="8"/>
        <v>898894.8925308664</v>
      </c>
      <c r="D24" s="117">
        <f>IF(G23=0,0,IF(G23&lt;BondCalculator!$B$13,G23+E24,BondCalculator!$B$13))</f>
        <v>13000</v>
      </c>
      <c r="E24" s="117">
        <f>C24*BondCalculator!$B$7/12</f>
        <v>7490.790771090554</v>
      </c>
      <c r="F24" s="117">
        <f t="shared" si="3"/>
        <v>5509.209228909446</v>
      </c>
      <c r="G24" s="117">
        <f t="shared" si="4"/>
        <v>893385.683301957</v>
      </c>
      <c r="H24" s="94">
        <f t="shared" si="5"/>
        <v>0.893385683301957</v>
      </c>
      <c r="J24" s="85">
        <f t="shared" si="6"/>
        <v>898894.8925308664</v>
      </c>
      <c r="K24" s="85">
        <f>IF(N23=0,0,IF(N23&lt;BondCalculator!$B$14+BondCalculator!$B$15,N23+L24,BondCalculator!$B$14+BondCalculator!$B$15))</f>
        <v>13000</v>
      </c>
      <c r="L24" s="85">
        <f>J24*BondCalculator!$B$7/12</f>
        <v>7490.790771090554</v>
      </c>
      <c r="M24" s="85">
        <f t="shared" si="7"/>
        <v>5509.209228909446</v>
      </c>
      <c r="N24" s="85">
        <f t="shared" si="0"/>
        <v>893385.683301957</v>
      </c>
      <c r="P24" s="85">
        <f t="shared" si="1"/>
        <v>0</v>
      </c>
      <c r="Q24" s="86">
        <f>-PV(BondCalculator!$B$10/12,B24,0,1,0)</f>
        <v>0.9227969097126291</v>
      </c>
      <c r="S24" s="87">
        <f t="shared" si="2"/>
        <v>0</v>
      </c>
    </row>
    <row r="25" spans="1:19" ht="15" customHeight="1">
      <c r="A25" s="82" t="s">
        <v>97</v>
      </c>
      <c r="B25" s="93">
        <v>22</v>
      </c>
      <c r="C25" s="117">
        <f t="shared" si="8"/>
        <v>893385.683301957</v>
      </c>
      <c r="D25" s="117">
        <f>IF(G24=0,0,IF(G24&lt;BondCalculator!$B$13,G24+E25,BondCalculator!$B$13))</f>
        <v>13000</v>
      </c>
      <c r="E25" s="117">
        <f>C25*BondCalculator!$B$7/12</f>
        <v>7444.880694182975</v>
      </c>
      <c r="F25" s="117">
        <f t="shared" si="3"/>
        <v>5555.119305817025</v>
      </c>
      <c r="G25" s="117">
        <f t="shared" si="4"/>
        <v>887830.5639961399</v>
      </c>
      <c r="H25" s="94">
        <f t="shared" si="5"/>
        <v>0.8878305639961399</v>
      </c>
      <c r="J25" s="85">
        <f t="shared" si="6"/>
        <v>893385.683301957</v>
      </c>
      <c r="K25" s="85">
        <f>IF(N24=0,0,IF(N24&lt;BondCalculator!$B$14+BondCalculator!$B$15,N24+L25,BondCalculator!$B$14+BondCalculator!$B$15))</f>
        <v>13000</v>
      </c>
      <c r="L25" s="85">
        <f>J25*BondCalculator!$B$7/12</f>
        <v>7444.880694182975</v>
      </c>
      <c r="M25" s="85">
        <f t="shared" si="7"/>
        <v>5555.119305817025</v>
      </c>
      <c r="N25" s="85">
        <f t="shared" si="0"/>
        <v>887830.5639961399</v>
      </c>
      <c r="P25" s="85">
        <f t="shared" si="1"/>
        <v>0</v>
      </c>
      <c r="Q25" s="86">
        <f>-PV(BondCalculator!$B$10/12,B25,0,1,0)</f>
        <v>0.9192730297651959</v>
      </c>
      <c r="S25" s="87">
        <f t="shared" si="2"/>
        <v>0</v>
      </c>
    </row>
    <row r="26" spans="1:19" ht="15" customHeight="1">
      <c r="A26" s="82" t="s">
        <v>97</v>
      </c>
      <c r="B26" s="93">
        <v>23</v>
      </c>
      <c r="C26" s="117">
        <f t="shared" si="8"/>
        <v>887830.5639961399</v>
      </c>
      <c r="D26" s="117">
        <f>IF(G25=0,0,IF(G25&lt;BondCalculator!$B$13,G25+E26,BondCalculator!$B$13))</f>
        <v>13000</v>
      </c>
      <c r="E26" s="117">
        <f>C26*BondCalculator!$B$7/12</f>
        <v>7398.588033301166</v>
      </c>
      <c r="F26" s="117">
        <f t="shared" si="3"/>
        <v>5601.411966698834</v>
      </c>
      <c r="G26" s="117">
        <f t="shared" si="4"/>
        <v>882229.1520294411</v>
      </c>
      <c r="H26" s="94">
        <f t="shared" si="5"/>
        <v>0.8822291520294411</v>
      </c>
      <c r="J26" s="85">
        <f t="shared" si="6"/>
        <v>887830.5639961399</v>
      </c>
      <c r="K26" s="85">
        <f>IF(N25=0,0,IF(N25&lt;BondCalculator!$B$14+BondCalculator!$B$15,N25+L26,BondCalculator!$B$14+BondCalculator!$B$15))</f>
        <v>13000</v>
      </c>
      <c r="L26" s="85">
        <f>J26*BondCalculator!$B$7/12</f>
        <v>7398.588033301166</v>
      </c>
      <c r="M26" s="85">
        <f t="shared" si="7"/>
        <v>5601.411966698834</v>
      </c>
      <c r="N26" s="85">
        <f t="shared" si="0"/>
        <v>882229.1520294411</v>
      </c>
      <c r="P26" s="85">
        <f t="shared" si="1"/>
        <v>0</v>
      </c>
      <c r="Q26" s="86">
        <f>-PV(BondCalculator!$B$10/12,B26,0,1,0)</f>
        <v>0.9157626064405073</v>
      </c>
      <c r="S26" s="87">
        <f t="shared" si="2"/>
        <v>0</v>
      </c>
    </row>
    <row r="27" spans="1:19" ht="15" customHeight="1">
      <c r="A27" s="82" t="s">
        <v>97</v>
      </c>
      <c r="B27" s="93">
        <v>24</v>
      </c>
      <c r="C27" s="117">
        <f t="shared" si="8"/>
        <v>882229.1520294411</v>
      </c>
      <c r="D27" s="117">
        <f>IF(G26=0,0,IF(G26&lt;BondCalculator!$B$13,G26+E27,BondCalculator!$B$13))</f>
        <v>13000</v>
      </c>
      <c r="E27" s="117">
        <f>C27*BondCalculator!$B$7/12</f>
        <v>7351.909600245343</v>
      </c>
      <c r="F27" s="117">
        <f t="shared" si="3"/>
        <v>5648.090399754657</v>
      </c>
      <c r="G27" s="117">
        <f t="shared" si="4"/>
        <v>876581.0616296864</v>
      </c>
      <c r="H27" s="94">
        <f t="shared" si="5"/>
        <v>0.8765810616296864</v>
      </c>
      <c r="J27" s="85">
        <f t="shared" si="6"/>
        <v>882229.1520294411</v>
      </c>
      <c r="K27" s="85">
        <f>IF(N26=0,0,IF(N26&lt;BondCalculator!$B$14+BondCalculator!$B$15,N26+L27,BondCalculator!$B$14+BondCalculator!$B$15))</f>
        <v>13000</v>
      </c>
      <c r="L27" s="85">
        <f>J27*BondCalculator!$B$7/12</f>
        <v>7351.909600245343</v>
      </c>
      <c r="M27" s="85">
        <f t="shared" si="7"/>
        <v>5648.090399754657</v>
      </c>
      <c r="N27" s="85">
        <f t="shared" si="0"/>
        <v>876581.0616296864</v>
      </c>
      <c r="P27" s="85">
        <f t="shared" si="1"/>
        <v>0</v>
      </c>
      <c r="Q27" s="86">
        <f>-PV(BondCalculator!$B$10/12,B27,0,1,0)</f>
        <v>0.9122655883518253</v>
      </c>
      <c r="S27" s="87">
        <f t="shared" si="2"/>
        <v>0</v>
      </c>
    </row>
    <row r="28" spans="1:19" ht="15" customHeight="1">
      <c r="A28" s="82" t="s">
        <v>98</v>
      </c>
      <c r="B28" s="93">
        <v>25</v>
      </c>
      <c r="C28" s="117">
        <f t="shared" si="8"/>
        <v>876581.0616296864</v>
      </c>
      <c r="D28" s="117">
        <f>IF(G27=0,0,IF(G27&lt;BondCalculator!$B$13,G27+E28,BondCalculator!$B$13))</f>
        <v>13000</v>
      </c>
      <c r="E28" s="117">
        <f>C28*BondCalculator!$B$7/12</f>
        <v>7304.842180247387</v>
      </c>
      <c r="F28" s="117">
        <f t="shared" si="3"/>
        <v>5695.157819752613</v>
      </c>
      <c r="G28" s="117">
        <f t="shared" si="4"/>
        <v>870885.9038099338</v>
      </c>
      <c r="H28" s="94">
        <f t="shared" si="5"/>
        <v>0.8708859038099338</v>
      </c>
      <c r="J28" s="85">
        <f t="shared" si="6"/>
        <v>876581.0616296864</v>
      </c>
      <c r="K28" s="85">
        <f>IF(N27=0,0,IF(N27&lt;BondCalculator!$B$14+BondCalculator!$B$15,N27+L28,BondCalculator!$B$14+BondCalculator!$B$15))</f>
        <v>13000</v>
      </c>
      <c r="L28" s="85">
        <f>J28*BondCalculator!$B$7/12</f>
        <v>7304.842180247387</v>
      </c>
      <c r="M28" s="85">
        <f t="shared" si="7"/>
        <v>5695.157819752613</v>
      </c>
      <c r="N28" s="85">
        <f t="shared" si="0"/>
        <v>870885.9038099338</v>
      </c>
      <c r="P28" s="85">
        <f t="shared" si="1"/>
        <v>0</v>
      </c>
      <c r="Q28" s="86">
        <f>-PV(BondCalculator!$B$10/12,B28,0,1,0)</f>
        <v>0.9087819243086421</v>
      </c>
      <c r="S28" s="87">
        <f t="shared" si="2"/>
        <v>0</v>
      </c>
    </row>
    <row r="29" spans="1:19" ht="15" customHeight="1">
      <c r="A29" s="82" t="s">
        <v>98</v>
      </c>
      <c r="B29" s="93">
        <v>26</v>
      </c>
      <c r="C29" s="117">
        <f t="shared" si="8"/>
        <v>870885.9038099338</v>
      </c>
      <c r="D29" s="117">
        <f>IF(G28=0,0,IF(G28&lt;BondCalculator!$B$13,G28+E29,BondCalculator!$B$13))</f>
        <v>13000</v>
      </c>
      <c r="E29" s="117">
        <f>C29*BondCalculator!$B$7/12</f>
        <v>7257.382531749448</v>
      </c>
      <c r="F29" s="117">
        <f t="shared" si="3"/>
        <v>5742.617468250552</v>
      </c>
      <c r="G29" s="117">
        <f t="shared" si="4"/>
        <v>865143.2863416832</v>
      </c>
      <c r="H29" s="94">
        <f t="shared" si="5"/>
        <v>0.8651432863416832</v>
      </c>
      <c r="J29" s="85">
        <f t="shared" si="6"/>
        <v>870885.9038099338</v>
      </c>
      <c r="K29" s="85">
        <f>IF(N28=0,0,IF(N28&lt;BondCalculator!$B$14+BondCalculator!$B$15,N28+L29,BondCalculator!$B$14+BondCalculator!$B$15))</f>
        <v>13000</v>
      </c>
      <c r="L29" s="85">
        <f>J29*BondCalculator!$B$7/12</f>
        <v>7257.382531749448</v>
      </c>
      <c r="M29" s="85">
        <f t="shared" si="7"/>
        <v>5742.617468250552</v>
      </c>
      <c r="N29" s="85">
        <f t="shared" si="0"/>
        <v>865143.2863416832</v>
      </c>
      <c r="P29" s="85">
        <f t="shared" si="1"/>
        <v>0</v>
      </c>
      <c r="Q29" s="86">
        <f>-PV(BondCalculator!$B$10/12,B29,0,1,0)</f>
        <v>0.905311563315931</v>
      </c>
      <c r="S29" s="87">
        <f t="shared" si="2"/>
        <v>0</v>
      </c>
    </row>
    <row r="30" spans="1:19" ht="15" customHeight="1">
      <c r="A30" s="82" t="s">
        <v>98</v>
      </c>
      <c r="B30" s="93">
        <v>27</v>
      </c>
      <c r="C30" s="117">
        <f t="shared" si="8"/>
        <v>865143.2863416832</v>
      </c>
      <c r="D30" s="117">
        <f>IF(G29=0,0,IF(G29&lt;BondCalculator!$B$13,G29+E30,BondCalculator!$B$13))</f>
        <v>13000</v>
      </c>
      <c r="E30" s="117">
        <f>C30*BondCalculator!$B$7/12</f>
        <v>7209.527386180694</v>
      </c>
      <c r="F30" s="117">
        <f t="shared" si="3"/>
        <v>5790.472613819306</v>
      </c>
      <c r="G30" s="117">
        <f t="shared" si="4"/>
        <v>859352.813727864</v>
      </c>
      <c r="H30" s="94">
        <f t="shared" si="5"/>
        <v>0.859352813727864</v>
      </c>
      <c r="J30" s="85">
        <f t="shared" si="6"/>
        <v>865143.2863416832</v>
      </c>
      <c r="K30" s="85">
        <f>IF(N29=0,0,IF(N29&lt;BondCalculator!$B$14+BondCalculator!$B$15,N29+L30,BondCalculator!$B$14+BondCalculator!$B$15))</f>
        <v>13000</v>
      </c>
      <c r="L30" s="85">
        <f>J30*BondCalculator!$B$7/12</f>
        <v>7209.527386180694</v>
      </c>
      <c r="M30" s="85">
        <f t="shared" si="7"/>
        <v>5790.472613819306</v>
      </c>
      <c r="N30" s="85">
        <f t="shared" si="0"/>
        <v>859352.813727864</v>
      </c>
      <c r="P30" s="85">
        <f t="shared" si="1"/>
        <v>0</v>
      </c>
      <c r="Q30" s="86">
        <f>-PV(BondCalculator!$B$10/12,B30,0,1,0)</f>
        <v>0.9018544545733997</v>
      </c>
      <c r="S30" s="87">
        <f t="shared" si="2"/>
        <v>0</v>
      </c>
    </row>
    <row r="31" spans="1:19" ht="15" customHeight="1">
      <c r="A31" s="82" t="s">
        <v>98</v>
      </c>
      <c r="B31" s="93">
        <v>28</v>
      </c>
      <c r="C31" s="117">
        <f t="shared" si="8"/>
        <v>859352.813727864</v>
      </c>
      <c r="D31" s="117">
        <f>IF(G30=0,0,IF(G30&lt;BondCalculator!$B$13,G30+E31,BondCalculator!$B$13))</f>
        <v>13000</v>
      </c>
      <c r="E31" s="117">
        <f>C31*BondCalculator!$B$7/12</f>
        <v>7161.2734477322</v>
      </c>
      <c r="F31" s="117">
        <f t="shared" si="3"/>
        <v>5838.7265522678</v>
      </c>
      <c r="G31" s="117">
        <f t="shared" si="4"/>
        <v>853514.0871755962</v>
      </c>
      <c r="H31" s="94">
        <f t="shared" si="5"/>
        <v>0.8535140871755962</v>
      </c>
      <c r="J31" s="85">
        <f t="shared" si="6"/>
        <v>859352.813727864</v>
      </c>
      <c r="K31" s="85">
        <f>IF(N30=0,0,IF(N30&lt;BondCalculator!$B$14+BondCalculator!$B$15,N30+L31,BondCalculator!$B$14+BondCalculator!$B$15))</f>
        <v>13000</v>
      </c>
      <c r="L31" s="85">
        <f>J31*BondCalculator!$B$7/12</f>
        <v>7161.2734477322</v>
      </c>
      <c r="M31" s="85">
        <f t="shared" si="7"/>
        <v>5838.7265522678</v>
      </c>
      <c r="N31" s="85">
        <f t="shared" si="0"/>
        <v>853514.0871755962</v>
      </c>
      <c r="P31" s="85">
        <f t="shared" si="1"/>
        <v>0</v>
      </c>
      <c r="Q31" s="86">
        <f>-PV(BondCalculator!$B$10/12,B31,0,1,0)</f>
        <v>0.8984105474747467</v>
      </c>
      <c r="S31" s="87">
        <f t="shared" si="2"/>
        <v>0</v>
      </c>
    </row>
    <row r="32" spans="1:19" ht="15" customHeight="1">
      <c r="A32" s="82" t="s">
        <v>98</v>
      </c>
      <c r="B32" s="93">
        <v>29</v>
      </c>
      <c r="C32" s="117">
        <f t="shared" si="8"/>
        <v>853514.0871755962</v>
      </c>
      <c r="D32" s="117">
        <f>IF(G31=0,0,IF(G31&lt;BondCalculator!$B$13,G31+E32,BondCalculator!$B$13))</f>
        <v>13000</v>
      </c>
      <c r="E32" s="117">
        <f>C32*BondCalculator!$B$7/12</f>
        <v>7112.617393129968</v>
      </c>
      <c r="F32" s="117">
        <f t="shared" si="3"/>
        <v>5887.382606870032</v>
      </c>
      <c r="G32" s="117">
        <f t="shared" si="4"/>
        <v>847626.7045687261</v>
      </c>
      <c r="H32" s="94">
        <f t="shared" si="5"/>
        <v>0.8476267045687261</v>
      </c>
      <c r="J32" s="85">
        <f t="shared" si="6"/>
        <v>853514.0871755962</v>
      </c>
      <c r="K32" s="85">
        <f>IF(N31=0,0,IF(N31&lt;BondCalculator!$B$14+BondCalculator!$B$15,N31+L32,BondCalculator!$B$14+BondCalculator!$B$15))</f>
        <v>13000</v>
      </c>
      <c r="L32" s="85">
        <f>J32*BondCalculator!$B$7/12</f>
        <v>7112.617393129968</v>
      </c>
      <c r="M32" s="85">
        <f t="shared" si="7"/>
        <v>5887.382606870032</v>
      </c>
      <c r="N32" s="85">
        <f t="shared" si="0"/>
        <v>847626.7045687261</v>
      </c>
      <c r="P32" s="85">
        <f t="shared" si="1"/>
        <v>0</v>
      </c>
      <c r="Q32" s="86">
        <f>-PV(BondCalculator!$B$10/12,B32,0,1,0)</f>
        <v>0.8949797916069201</v>
      </c>
      <c r="S32" s="87">
        <f t="shared" si="2"/>
        <v>0</v>
      </c>
    </row>
    <row r="33" spans="1:19" ht="15" customHeight="1">
      <c r="A33" s="82" t="s">
        <v>98</v>
      </c>
      <c r="B33" s="93">
        <v>30</v>
      </c>
      <c r="C33" s="117">
        <f t="shared" si="8"/>
        <v>847626.7045687261</v>
      </c>
      <c r="D33" s="117">
        <f>IF(G32=0,0,IF(G32&lt;BondCalculator!$B$13,G32+E33,BondCalculator!$B$13))</f>
        <v>13000</v>
      </c>
      <c r="E33" s="117">
        <f>C33*BondCalculator!$B$7/12</f>
        <v>7063.555871406051</v>
      </c>
      <c r="F33" s="117">
        <f t="shared" si="3"/>
        <v>5936.444128593949</v>
      </c>
      <c r="G33" s="117">
        <f t="shared" si="4"/>
        <v>841690.2604401322</v>
      </c>
      <c r="H33" s="94">
        <f t="shared" si="5"/>
        <v>0.8416902604401322</v>
      </c>
      <c r="J33" s="85">
        <f t="shared" si="6"/>
        <v>847626.7045687261</v>
      </c>
      <c r="K33" s="85">
        <f>IF(N32=0,0,IF(N32&lt;BondCalculator!$B$14+BondCalculator!$B$15,N32+L33,BondCalculator!$B$14+BondCalculator!$B$15))</f>
        <v>13000</v>
      </c>
      <c r="L33" s="85">
        <f>J33*BondCalculator!$B$7/12</f>
        <v>7063.555871406051</v>
      </c>
      <c r="M33" s="85">
        <f t="shared" si="7"/>
        <v>5936.444128593949</v>
      </c>
      <c r="N33" s="85">
        <f t="shared" si="0"/>
        <v>841690.2604401322</v>
      </c>
      <c r="P33" s="85">
        <f t="shared" si="1"/>
        <v>0</v>
      </c>
      <c r="Q33" s="86">
        <f>-PV(BondCalculator!$B$10/12,B33,0,1,0)</f>
        <v>0.8915621367493808</v>
      </c>
      <c r="S33" s="87">
        <f t="shared" si="2"/>
        <v>0</v>
      </c>
    </row>
    <row r="34" spans="1:19" ht="15" customHeight="1">
      <c r="A34" s="82" t="s">
        <v>98</v>
      </c>
      <c r="B34" s="93">
        <v>31</v>
      </c>
      <c r="C34" s="117">
        <f t="shared" si="8"/>
        <v>841690.2604401322</v>
      </c>
      <c r="D34" s="117">
        <f>IF(G33=0,0,IF(G33&lt;BondCalculator!$B$13,G33+E34,BondCalculator!$B$13))</f>
        <v>13000</v>
      </c>
      <c r="E34" s="117">
        <f>C34*BondCalculator!$B$7/12</f>
        <v>7014.0855036677685</v>
      </c>
      <c r="F34" s="117">
        <f t="shared" si="3"/>
        <v>5985.9144963322315</v>
      </c>
      <c r="G34" s="117">
        <f t="shared" si="4"/>
        <v>835704.3459438</v>
      </c>
      <c r="H34" s="94">
        <f t="shared" si="5"/>
        <v>0.8357043459438</v>
      </c>
      <c r="J34" s="85">
        <f t="shared" si="6"/>
        <v>841690.2604401322</v>
      </c>
      <c r="K34" s="85">
        <f>IF(N33=0,0,IF(N33&lt;BondCalculator!$B$14+BondCalculator!$B$15,N33+L34,BondCalculator!$B$14+BondCalculator!$B$15))</f>
        <v>13000</v>
      </c>
      <c r="L34" s="85">
        <f>J34*BondCalculator!$B$7/12</f>
        <v>7014.0855036677685</v>
      </c>
      <c r="M34" s="85">
        <f t="shared" si="7"/>
        <v>5985.9144963322315</v>
      </c>
      <c r="N34" s="85">
        <f t="shared" si="0"/>
        <v>835704.3459438</v>
      </c>
      <c r="P34" s="85">
        <f t="shared" si="1"/>
        <v>0</v>
      </c>
      <c r="Q34" s="86">
        <f>-PV(BondCalculator!$B$10/12,B34,0,1,0)</f>
        <v>0.8881575328733662</v>
      </c>
      <c r="S34" s="87">
        <f t="shared" si="2"/>
        <v>0</v>
      </c>
    </row>
    <row r="35" spans="1:19" ht="15" customHeight="1">
      <c r="A35" s="82" t="s">
        <v>98</v>
      </c>
      <c r="B35" s="93">
        <v>32</v>
      </c>
      <c r="C35" s="117">
        <f t="shared" si="8"/>
        <v>835704.3459438</v>
      </c>
      <c r="D35" s="117">
        <f>IF(G34=0,0,IF(G34&lt;BondCalculator!$B$13,G34+E35,BondCalculator!$B$13))</f>
        <v>13000</v>
      </c>
      <c r="E35" s="117">
        <f>C35*BondCalculator!$B$7/12</f>
        <v>6964.202882865001</v>
      </c>
      <c r="F35" s="117">
        <f t="shared" si="3"/>
        <v>6035.797117134999</v>
      </c>
      <c r="G35" s="117">
        <f t="shared" si="4"/>
        <v>829668.548826665</v>
      </c>
      <c r="H35" s="94">
        <f t="shared" si="5"/>
        <v>0.8296685488266651</v>
      </c>
      <c r="J35" s="85">
        <f t="shared" si="6"/>
        <v>835704.3459438</v>
      </c>
      <c r="K35" s="85">
        <f>IF(N34=0,0,IF(N34&lt;BondCalculator!$B$14+BondCalculator!$B$15,N34+L35,BondCalculator!$B$14+BondCalculator!$B$15))</f>
        <v>13000</v>
      </c>
      <c r="L35" s="85">
        <f>J35*BondCalculator!$B$7/12</f>
        <v>6964.202882865001</v>
      </c>
      <c r="M35" s="85">
        <f t="shared" si="7"/>
        <v>6035.797117134999</v>
      </c>
      <c r="N35" s="85">
        <f t="shared" si="0"/>
        <v>829668.548826665</v>
      </c>
      <c r="P35" s="85">
        <f t="shared" si="1"/>
        <v>0</v>
      </c>
      <c r="Q35" s="86">
        <f>-PV(BondCalculator!$B$10/12,B35,0,1,0)</f>
        <v>0.8847659301411587</v>
      </c>
      <c r="S35" s="87">
        <f t="shared" si="2"/>
        <v>0</v>
      </c>
    </row>
    <row r="36" spans="1:19" ht="15" customHeight="1">
      <c r="A36" s="82" t="s">
        <v>98</v>
      </c>
      <c r="B36" s="93">
        <v>33</v>
      </c>
      <c r="C36" s="117">
        <f t="shared" si="8"/>
        <v>829668.548826665</v>
      </c>
      <c r="D36" s="117">
        <f>IF(G35=0,0,IF(G35&lt;BondCalculator!$B$13,G35+E36,BondCalculator!$B$13))</f>
        <v>13000</v>
      </c>
      <c r="E36" s="117">
        <f>C36*BondCalculator!$B$7/12</f>
        <v>6913.904573555542</v>
      </c>
      <c r="F36" s="117">
        <f t="shared" si="3"/>
        <v>6086.095426444458</v>
      </c>
      <c r="G36" s="117">
        <f t="shared" si="4"/>
        <v>823582.4534002206</v>
      </c>
      <c r="H36" s="94">
        <f t="shared" si="5"/>
        <v>0.8235824534002206</v>
      </c>
      <c r="J36" s="85">
        <f t="shared" si="6"/>
        <v>829668.548826665</v>
      </c>
      <c r="K36" s="85">
        <f>IF(N35=0,0,IF(N35&lt;BondCalculator!$B$14+BondCalculator!$B$15,N35+L36,BondCalculator!$B$14+BondCalculator!$B$15))</f>
        <v>13000</v>
      </c>
      <c r="L36" s="85">
        <f>J36*BondCalculator!$B$7/12</f>
        <v>6913.904573555542</v>
      </c>
      <c r="M36" s="85">
        <f t="shared" si="7"/>
        <v>6086.095426444458</v>
      </c>
      <c r="N36" s="85">
        <f t="shared" si="0"/>
        <v>823582.4534002206</v>
      </c>
      <c r="P36" s="85">
        <f t="shared" si="1"/>
        <v>0</v>
      </c>
      <c r="Q36" s="86">
        <f>-PV(BondCalculator!$B$10/12,B36,0,1,0)</f>
        <v>0.8813872789053547</v>
      </c>
      <c r="S36" s="87">
        <f t="shared" si="2"/>
        <v>0</v>
      </c>
    </row>
    <row r="37" spans="1:19" ht="15" customHeight="1">
      <c r="A37" s="82" t="s">
        <v>98</v>
      </c>
      <c r="B37" s="93">
        <v>34</v>
      </c>
      <c r="C37" s="117">
        <f t="shared" si="8"/>
        <v>823582.4534002206</v>
      </c>
      <c r="D37" s="117">
        <f>IF(G36=0,0,IF(G36&lt;BondCalculator!$B$13,G36+E37,BondCalculator!$B$13))</f>
        <v>13000</v>
      </c>
      <c r="E37" s="117">
        <f>C37*BondCalculator!$B$7/12</f>
        <v>6863.187111668506</v>
      </c>
      <c r="F37" s="117">
        <f t="shared" si="3"/>
        <v>6136.812888331494</v>
      </c>
      <c r="G37" s="117">
        <f t="shared" si="4"/>
        <v>817445.6405118891</v>
      </c>
      <c r="H37" s="94">
        <f t="shared" si="5"/>
        <v>0.8174456405118892</v>
      </c>
      <c r="J37" s="85">
        <f t="shared" si="6"/>
        <v>823582.4534002206</v>
      </c>
      <c r="K37" s="85">
        <f>IF(N36=0,0,IF(N36&lt;BondCalculator!$B$14+BondCalculator!$B$15,N36+L37,BondCalculator!$B$14+BondCalculator!$B$15))</f>
        <v>13000</v>
      </c>
      <c r="L37" s="85">
        <f>J37*BondCalculator!$B$7/12</f>
        <v>6863.187111668506</v>
      </c>
      <c r="M37" s="85">
        <f t="shared" si="7"/>
        <v>6136.812888331494</v>
      </c>
      <c r="N37" s="85">
        <f t="shared" si="0"/>
        <v>817445.6405118891</v>
      </c>
      <c r="P37" s="85">
        <f t="shared" si="1"/>
        <v>0</v>
      </c>
      <c r="Q37" s="86">
        <f>-PV(BondCalculator!$B$10/12,B37,0,1,0)</f>
        <v>0.8780215297081403</v>
      </c>
      <c r="S37" s="87">
        <f t="shared" si="2"/>
        <v>0</v>
      </c>
    </row>
    <row r="38" spans="1:19" ht="15" customHeight="1">
      <c r="A38" s="82" t="s">
        <v>98</v>
      </c>
      <c r="B38" s="93">
        <v>35</v>
      </c>
      <c r="C38" s="117">
        <f t="shared" si="8"/>
        <v>817445.6405118891</v>
      </c>
      <c r="D38" s="117">
        <f>IF(G37=0,0,IF(G37&lt;BondCalculator!$B$13,G37+E38,BondCalculator!$B$13))</f>
        <v>13000</v>
      </c>
      <c r="E38" s="117">
        <f>C38*BondCalculator!$B$7/12</f>
        <v>6812.047004265743</v>
      </c>
      <c r="F38" s="117">
        <f t="shared" si="3"/>
        <v>6187.952995734257</v>
      </c>
      <c r="G38" s="117">
        <f t="shared" si="4"/>
        <v>811257.6875161548</v>
      </c>
      <c r="H38" s="94">
        <f t="shared" si="5"/>
        <v>0.8112576875161548</v>
      </c>
      <c r="J38" s="85">
        <f t="shared" si="6"/>
        <v>817445.6405118891</v>
      </c>
      <c r="K38" s="85">
        <f>IF(N37=0,0,IF(N37&lt;BondCalculator!$B$14+BondCalculator!$B$15,N37+L38,BondCalculator!$B$14+BondCalculator!$B$15))</f>
        <v>13000</v>
      </c>
      <c r="L38" s="85">
        <f>J38*BondCalculator!$B$7/12</f>
        <v>6812.047004265743</v>
      </c>
      <c r="M38" s="85">
        <f t="shared" si="7"/>
        <v>6187.952995734257</v>
      </c>
      <c r="N38" s="85">
        <f t="shared" si="0"/>
        <v>811257.6875161548</v>
      </c>
      <c r="P38" s="85">
        <f t="shared" si="1"/>
        <v>0</v>
      </c>
      <c r="Q38" s="86">
        <f>-PV(BondCalculator!$B$10/12,B38,0,1,0)</f>
        <v>0.8746686332805648</v>
      </c>
      <c r="S38" s="87">
        <f t="shared" si="2"/>
        <v>0</v>
      </c>
    </row>
    <row r="39" spans="1:19" ht="15" customHeight="1">
      <c r="A39" s="82" t="s">
        <v>98</v>
      </c>
      <c r="B39" s="93">
        <v>36</v>
      </c>
      <c r="C39" s="117">
        <f t="shared" si="8"/>
        <v>811257.6875161548</v>
      </c>
      <c r="D39" s="117">
        <f>IF(G38=0,0,IF(G38&lt;BondCalculator!$B$13,G38+E39,BondCalculator!$B$13))</f>
        <v>13000</v>
      </c>
      <c r="E39" s="117">
        <f>C39*BondCalculator!$B$7/12</f>
        <v>6760.48072930129</v>
      </c>
      <c r="F39" s="117">
        <f t="shared" si="3"/>
        <v>6239.51927069871</v>
      </c>
      <c r="G39" s="117">
        <f t="shared" si="4"/>
        <v>805018.1682454562</v>
      </c>
      <c r="H39" s="94">
        <f t="shared" si="5"/>
        <v>0.8050181682454561</v>
      </c>
      <c r="J39" s="85">
        <f t="shared" si="6"/>
        <v>811257.6875161548</v>
      </c>
      <c r="K39" s="85">
        <f>IF(N38=0,0,IF(N38&lt;BondCalculator!$B$14+BondCalculator!$B$15,N38+L39,BondCalculator!$B$14+BondCalculator!$B$15))</f>
        <v>13000</v>
      </c>
      <c r="L39" s="85">
        <f>J39*BondCalculator!$B$7/12</f>
        <v>6760.48072930129</v>
      </c>
      <c r="M39" s="85">
        <f t="shared" si="7"/>
        <v>6239.51927069871</v>
      </c>
      <c r="N39" s="85">
        <f t="shared" si="0"/>
        <v>805018.1682454562</v>
      </c>
      <c r="P39" s="85">
        <f t="shared" si="1"/>
        <v>0</v>
      </c>
      <c r="Q39" s="86">
        <f>-PV(BondCalculator!$B$10/12,B39,0,1,0)</f>
        <v>0.8713285405418212</v>
      </c>
      <c r="S39" s="87">
        <f t="shared" si="2"/>
        <v>0</v>
      </c>
    </row>
    <row r="40" spans="1:19" ht="15" customHeight="1">
      <c r="A40" s="82" t="s">
        <v>99</v>
      </c>
      <c r="B40" s="93">
        <v>37</v>
      </c>
      <c r="C40" s="117">
        <f t="shared" si="8"/>
        <v>805018.1682454562</v>
      </c>
      <c r="D40" s="117">
        <f>IF(G39=0,0,IF(G39&lt;BondCalculator!$B$13,G39+E40,BondCalculator!$B$13))</f>
        <v>13000</v>
      </c>
      <c r="E40" s="117">
        <f>C40*BondCalculator!$B$7/12</f>
        <v>6708.484735378802</v>
      </c>
      <c r="F40" s="117">
        <f t="shared" si="3"/>
        <v>6291.515264621198</v>
      </c>
      <c r="G40" s="117">
        <f t="shared" si="4"/>
        <v>798726.652980835</v>
      </c>
      <c r="H40" s="94">
        <f t="shared" si="5"/>
        <v>0.7987266529808349</v>
      </c>
      <c r="J40" s="85">
        <f t="shared" si="6"/>
        <v>805018.1682454562</v>
      </c>
      <c r="K40" s="85">
        <f>IF(N39=0,0,IF(N39&lt;BondCalculator!$B$14+BondCalculator!$B$15,N39+L40,BondCalculator!$B$14+BondCalculator!$B$15))</f>
        <v>13000</v>
      </c>
      <c r="L40" s="85">
        <f>J40*BondCalculator!$B$7/12</f>
        <v>6708.484735378802</v>
      </c>
      <c r="M40" s="85">
        <f t="shared" si="7"/>
        <v>6291.515264621198</v>
      </c>
      <c r="N40" s="85">
        <f t="shared" si="0"/>
        <v>798726.652980835</v>
      </c>
      <c r="P40" s="85">
        <f t="shared" si="1"/>
        <v>0</v>
      </c>
      <c r="Q40" s="86">
        <f>-PV(BondCalculator!$B$10/12,B40,0,1,0)</f>
        <v>0.8680012025985269</v>
      </c>
      <c r="S40" s="87">
        <f t="shared" si="2"/>
        <v>0</v>
      </c>
    </row>
    <row r="41" spans="1:19" ht="15" customHeight="1">
      <c r="A41" s="82" t="s">
        <v>99</v>
      </c>
      <c r="B41" s="93">
        <v>38</v>
      </c>
      <c r="C41" s="117">
        <f t="shared" si="8"/>
        <v>798726.652980835</v>
      </c>
      <c r="D41" s="117">
        <f>IF(G40=0,0,IF(G40&lt;BondCalculator!$B$13,G40+E41,BondCalculator!$B$13))</f>
        <v>13000</v>
      </c>
      <c r="E41" s="117">
        <f>C41*BondCalculator!$B$7/12</f>
        <v>6656.055441506959</v>
      </c>
      <c r="F41" s="117">
        <f t="shared" si="3"/>
        <v>6343.944558493041</v>
      </c>
      <c r="G41" s="117">
        <f t="shared" si="4"/>
        <v>792382.7084223418</v>
      </c>
      <c r="H41" s="94">
        <f t="shared" si="5"/>
        <v>0.7923827084223418</v>
      </c>
      <c r="J41" s="85">
        <f t="shared" si="6"/>
        <v>798726.652980835</v>
      </c>
      <c r="K41" s="85">
        <f>IF(N40=0,0,IF(N40&lt;BondCalculator!$B$14+BondCalculator!$B$15,N40+L41,BondCalculator!$B$14+BondCalculator!$B$15))</f>
        <v>13000</v>
      </c>
      <c r="L41" s="85">
        <f>J41*BondCalculator!$B$7/12</f>
        <v>6656.055441506959</v>
      </c>
      <c r="M41" s="85">
        <f t="shared" si="7"/>
        <v>6343.944558493041</v>
      </c>
      <c r="N41" s="85">
        <f t="shared" si="0"/>
        <v>792382.7084223418</v>
      </c>
      <c r="P41" s="85">
        <f t="shared" si="1"/>
        <v>0</v>
      </c>
      <c r="Q41" s="86">
        <f>-PV(BondCalculator!$B$10/12,B41,0,1,0)</f>
        <v>0.8646865707440081</v>
      </c>
      <c r="S41" s="87">
        <f t="shared" si="2"/>
        <v>0</v>
      </c>
    </row>
    <row r="42" spans="1:19" ht="15" customHeight="1">
      <c r="A42" s="82" t="s">
        <v>99</v>
      </c>
      <c r="B42" s="93">
        <v>39</v>
      </c>
      <c r="C42" s="117">
        <f t="shared" si="8"/>
        <v>792382.7084223418</v>
      </c>
      <c r="D42" s="117">
        <f>IF(G41=0,0,IF(G41&lt;BondCalculator!$B$13,G41+E42,BondCalculator!$B$13))</f>
        <v>13000</v>
      </c>
      <c r="E42" s="117">
        <f>C42*BondCalculator!$B$7/12</f>
        <v>6603.18923685285</v>
      </c>
      <c r="F42" s="117">
        <f t="shared" si="3"/>
        <v>6396.81076314715</v>
      </c>
      <c r="G42" s="117">
        <f t="shared" si="4"/>
        <v>785985.8976591947</v>
      </c>
      <c r="H42" s="94">
        <f t="shared" si="5"/>
        <v>0.7859858976591947</v>
      </c>
      <c r="J42" s="85">
        <f t="shared" si="6"/>
        <v>792382.7084223418</v>
      </c>
      <c r="K42" s="85">
        <f>IF(N41=0,0,IF(N41&lt;BondCalculator!$B$14+BondCalculator!$B$15,N41+L42,BondCalculator!$B$14+BondCalculator!$B$15))</f>
        <v>13000</v>
      </c>
      <c r="L42" s="85">
        <f>J42*BondCalculator!$B$7/12</f>
        <v>6603.18923685285</v>
      </c>
      <c r="M42" s="85">
        <f t="shared" si="7"/>
        <v>6396.81076314715</v>
      </c>
      <c r="N42" s="85">
        <f t="shared" si="0"/>
        <v>785985.8976591947</v>
      </c>
      <c r="P42" s="85">
        <f t="shared" si="1"/>
        <v>0</v>
      </c>
      <c r="Q42" s="86">
        <f>-PV(BondCalculator!$B$10/12,B42,0,1,0)</f>
        <v>0.8613845964575874</v>
      </c>
      <c r="S42" s="87">
        <f t="shared" si="2"/>
        <v>0</v>
      </c>
    </row>
    <row r="43" spans="1:19" ht="15" customHeight="1">
      <c r="A43" s="82" t="s">
        <v>99</v>
      </c>
      <c r="B43" s="93">
        <v>40</v>
      </c>
      <c r="C43" s="117">
        <f t="shared" si="8"/>
        <v>785985.8976591947</v>
      </c>
      <c r="D43" s="117">
        <f>IF(G42=0,0,IF(G42&lt;BondCalculator!$B$13,G42+E43,BondCalculator!$B$13))</f>
        <v>13000</v>
      </c>
      <c r="E43" s="117">
        <f>C43*BondCalculator!$B$7/12</f>
        <v>6549.882480493289</v>
      </c>
      <c r="F43" s="117">
        <f t="shared" si="3"/>
        <v>6450.117519506711</v>
      </c>
      <c r="G43" s="117">
        <f t="shared" si="4"/>
        <v>779535.7801396879</v>
      </c>
      <c r="H43" s="94">
        <f t="shared" si="5"/>
        <v>0.7795357801396879</v>
      </c>
      <c r="J43" s="85">
        <f t="shared" si="6"/>
        <v>785985.8976591947</v>
      </c>
      <c r="K43" s="85">
        <f>IF(N42=0,0,IF(N42&lt;BondCalculator!$B$14+BondCalculator!$B$15,N42+L43,BondCalculator!$B$14+BondCalculator!$B$15))</f>
        <v>13000</v>
      </c>
      <c r="L43" s="85">
        <f>J43*BondCalculator!$B$7/12</f>
        <v>6549.882480493289</v>
      </c>
      <c r="M43" s="85">
        <f t="shared" si="7"/>
        <v>6450.117519506711</v>
      </c>
      <c r="N43" s="85">
        <f t="shared" si="0"/>
        <v>779535.7801396879</v>
      </c>
      <c r="P43" s="85">
        <f t="shared" si="1"/>
        <v>0</v>
      </c>
      <c r="Q43" s="86">
        <f>-PV(BondCalculator!$B$10/12,B43,0,1,0)</f>
        <v>0.8580952314038726</v>
      </c>
      <c r="S43" s="87">
        <f t="shared" si="2"/>
        <v>0</v>
      </c>
    </row>
    <row r="44" spans="1:19" ht="15" customHeight="1">
      <c r="A44" s="82" t="s">
        <v>99</v>
      </c>
      <c r="B44" s="93">
        <v>41</v>
      </c>
      <c r="C44" s="117">
        <f t="shared" si="8"/>
        <v>779535.7801396879</v>
      </c>
      <c r="D44" s="117">
        <f>IF(G43=0,0,IF(G43&lt;BondCalculator!$B$13,G43+E44,BondCalculator!$B$13))</f>
        <v>13000</v>
      </c>
      <c r="E44" s="117">
        <f>C44*BondCalculator!$B$7/12</f>
        <v>6496.131501164066</v>
      </c>
      <c r="F44" s="117">
        <f t="shared" si="3"/>
        <v>6503.868498835934</v>
      </c>
      <c r="G44" s="117">
        <f t="shared" si="4"/>
        <v>773031.911640852</v>
      </c>
      <c r="H44" s="94">
        <f t="shared" si="5"/>
        <v>0.7730319116408519</v>
      </c>
      <c r="J44" s="85">
        <f t="shared" si="6"/>
        <v>779535.7801396879</v>
      </c>
      <c r="K44" s="85">
        <f>IF(N43=0,0,IF(N43&lt;BondCalculator!$B$14+BondCalculator!$B$15,N43+L44,BondCalculator!$B$14+BondCalculator!$B$15))</f>
        <v>13000</v>
      </c>
      <c r="L44" s="85">
        <f>J44*BondCalculator!$B$7/12</f>
        <v>6496.131501164066</v>
      </c>
      <c r="M44" s="85">
        <f t="shared" si="7"/>
        <v>6503.868498835934</v>
      </c>
      <c r="N44" s="85">
        <f t="shared" si="0"/>
        <v>773031.911640852</v>
      </c>
      <c r="P44" s="85">
        <f t="shared" si="1"/>
        <v>0</v>
      </c>
      <c r="Q44" s="86">
        <f>-PV(BondCalculator!$B$10/12,B44,0,1,0)</f>
        <v>0.8548184274320495</v>
      </c>
      <c r="S44" s="87">
        <f t="shared" si="2"/>
        <v>0</v>
      </c>
    </row>
    <row r="45" spans="1:19" ht="15" customHeight="1">
      <c r="A45" s="82" t="s">
        <v>99</v>
      </c>
      <c r="B45" s="93">
        <v>42</v>
      </c>
      <c r="C45" s="117">
        <f t="shared" si="8"/>
        <v>773031.911640852</v>
      </c>
      <c r="D45" s="117">
        <f>IF(G44=0,0,IF(G44&lt;BondCalculator!$B$13,G44+E45,BondCalculator!$B$13))</f>
        <v>13000</v>
      </c>
      <c r="E45" s="117">
        <f>C45*BondCalculator!$B$7/12</f>
        <v>6441.9325970071</v>
      </c>
      <c r="F45" s="117">
        <f t="shared" si="3"/>
        <v>6558.0674029929</v>
      </c>
      <c r="G45" s="117">
        <f t="shared" si="4"/>
        <v>766473.8442378591</v>
      </c>
      <c r="H45" s="94">
        <f t="shared" si="5"/>
        <v>0.7664738442378591</v>
      </c>
      <c r="J45" s="85">
        <f t="shared" si="6"/>
        <v>773031.911640852</v>
      </c>
      <c r="K45" s="85">
        <f>IF(N44=0,0,IF(N44&lt;BondCalculator!$B$14+BondCalculator!$B$15,N44+L45,BondCalculator!$B$14+BondCalculator!$B$15))</f>
        <v>13000</v>
      </c>
      <c r="L45" s="85">
        <f>J45*BondCalculator!$B$7/12</f>
        <v>6441.9325970071</v>
      </c>
      <c r="M45" s="85">
        <f t="shared" si="7"/>
        <v>6558.0674029929</v>
      </c>
      <c r="N45" s="85">
        <f t="shared" si="0"/>
        <v>766473.8442378591</v>
      </c>
      <c r="P45" s="85">
        <f t="shared" si="1"/>
        <v>0</v>
      </c>
      <c r="Q45" s="86">
        <f>-PV(BondCalculator!$B$10/12,B45,0,1,0)</f>
        <v>0.8515541365751781</v>
      </c>
      <c r="S45" s="87">
        <f t="shared" si="2"/>
        <v>0</v>
      </c>
    </row>
    <row r="46" spans="1:19" ht="15" customHeight="1">
      <c r="A46" s="82" t="s">
        <v>99</v>
      </c>
      <c r="B46" s="93">
        <v>43</v>
      </c>
      <c r="C46" s="117">
        <f t="shared" si="8"/>
        <v>766473.8442378591</v>
      </c>
      <c r="D46" s="117">
        <f>IF(G45=0,0,IF(G45&lt;BondCalculator!$B$13,G45+E46,BondCalculator!$B$13))</f>
        <v>13000</v>
      </c>
      <c r="E46" s="117">
        <f>C46*BondCalculator!$B$7/12</f>
        <v>6387.282035315493</v>
      </c>
      <c r="F46" s="117">
        <f t="shared" si="3"/>
        <v>6612.717964684507</v>
      </c>
      <c r="G46" s="117">
        <f t="shared" si="4"/>
        <v>759861.1262731747</v>
      </c>
      <c r="H46" s="94">
        <f t="shared" si="5"/>
        <v>0.7598611262731747</v>
      </c>
      <c r="J46" s="85">
        <f t="shared" si="6"/>
        <v>766473.8442378591</v>
      </c>
      <c r="K46" s="85">
        <f>IF(N45=0,0,IF(N45&lt;BondCalculator!$B$14+BondCalculator!$B$15,N45+L46,BondCalculator!$B$14+BondCalculator!$B$15))</f>
        <v>13000</v>
      </c>
      <c r="L46" s="85">
        <f>J46*BondCalculator!$B$7/12</f>
        <v>6387.282035315493</v>
      </c>
      <c r="M46" s="85">
        <f t="shared" si="7"/>
        <v>6612.717964684507</v>
      </c>
      <c r="N46" s="85">
        <f t="shared" si="0"/>
        <v>759861.1262731747</v>
      </c>
      <c r="P46" s="85">
        <f t="shared" si="1"/>
        <v>0</v>
      </c>
      <c r="Q46" s="86">
        <f>-PV(BondCalculator!$B$10/12,B46,0,1,0)</f>
        <v>0.8483023110494885</v>
      </c>
      <c r="S46" s="87">
        <f t="shared" si="2"/>
        <v>0</v>
      </c>
    </row>
    <row r="47" spans="1:19" ht="15" customHeight="1">
      <c r="A47" s="82" t="s">
        <v>99</v>
      </c>
      <c r="B47" s="93">
        <v>44</v>
      </c>
      <c r="C47" s="117">
        <f t="shared" si="8"/>
        <v>759861.1262731747</v>
      </c>
      <c r="D47" s="117">
        <f>IF(G46=0,0,IF(G46&lt;BondCalculator!$B$13,G46+E47,BondCalculator!$B$13))</f>
        <v>13000</v>
      </c>
      <c r="E47" s="117">
        <f>C47*BondCalculator!$B$7/12</f>
        <v>6332.176052276456</v>
      </c>
      <c r="F47" s="117">
        <f t="shared" si="3"/>
        <v>6667.823947723544</v>
      </c>
      <c r="G47" s="117">
        <f t="shared" si="4"/>
        <v>753193.3023254512</v>
      </c>
      <c r="H47" s="94">
        <f t="shared" si="5"/>
        <v>0.7531933023254511</v>
      </c>
      <c r="J47" s="85">
        <f t="shared" si="6"/>
        <v>759861.1262731747</v>
      </c>
      <c r="K47" s="85">
        <f>IF(N46=0,0,IF(N46&lt;BondCalculator!$B$14+BondCalculator!$B$15,N46+L47,BondCalculator!$B$14+BondCalculator!$B$15))</f>
        <v>13000</v>
      </c>
      <c r="L47" s="85">
        <f>J47*BondCalculator!$B$7/12</f>
        <v>6332.176052276456</v>
      </c>
      <c r="M47" s="85">
        <f t="shared" si="7"/>
        <v>6667.823947723544</v>
      </c>
      <c r="N47" s="85">
        <f t="shared" si="0"/>
        <v>753193.3023254512</v>
      </c>
      <c r="P47" s="85">
        <f t="shared" si="1"/>
        <v>0</v>
      </c>
      <c r="Q47" s="86">
        <f>-PV(BondCalculator!$B$10/12,B47,0,1,0)</f>
        <v>0.8450629032536828</v>
      </c>
      <c r="S47" s="87">
        <f t="shared" si="2"/>
        <v>0</v>
      </c>
    </row>
    <row r="48" spans="1:19" ht="15" customHeight="1">
      <c r="A48" s="82" t="s">
        <v>99</v>
      </c>
      <c r="B48" s="93">
        <v>45</v>
      </c>
      <c r="C48" s="117">
        <f t="shared" si="8"/>
        <v>753193.3023254512</v>
      </c>
      <c r="D48" s="117">
        <f>IF(G47=0,0,IF(G47&lt;BondCalculator!$B$13,G47+E48,BondCalculator!$B$13))</f>
        <v>13000</v>
      </c>
      <c r="E48" s="117">
        <f>C48*BondCalculator!$B$7/12</f>
        <v>6276.610852712093</v>
      </c>
      <c r="F48" s="117">
        <f t="shared" si="3"/>
        <v>6723.389147287907</v>
      </c>
      <c r="G48" s="117">
        <f t="shared" si="4"/>
        <v>746469.9131781632</v>
      </c>
      <c r="H48" s="94">
        <f t="shared" si="5"/>
        <v>0.7464699131781632</v>
      </c>
      <c r="J48" s="85">
        <f t="shared" si="6"/>
        <v>753193.3023254512</v>
      </c>
      <c r="K48" s="85">
        <f>IF(N47=0,0,IF(N47&lt;BondCalculator!$B$14+BondCalculator!$B$15,N47+L48,BondCalculator!$B$14+BondCalculator!$B$15))</f>
        <v>13000</v>
      </c>
      <c r="L48" s="85">
        <f>J48*BondCalculator!$B$7/12</f>
        <v>6276.610852712093</v>
      </c>
      <c r="M48" s="85">
        <f t="shared" si="7"/>
        <v>6723.389147287907</v>
      </c>
      <c r="N48" s="85">
        <f t="shared" si="0"/>
        <v>746469.9131781632</v>
      </c>
      <c r="P48" s="85">
        <f t="shared" si="1"/>
        <v>0</v>
      </c>
      <c r="Q48" s="86">
        <f>-PV(BondCalculator!$B$10/12,B48,0,1,0)</f>
        <v>0.841835865768238</v>
      </c>
      <c r="S48" s="87">
        <f t="shared" si="2"/>
        <v>0</v>
      </c>
    </row>
    <row r="49" spans="1:19" ht="15" customHeight="1">
      <c r="A49" s="82" t="s">
        <v>99</v>
      </c>
      <c r="B49" s="93">
        <v>46</v>
      </c>
      <c r="C49" s="117">
        <f t="shared" si="8"/>
        <v>746469.9131781632</v>
      </c>
      <c r="D49" s="117">
        <f>IF(G48=0,0,IF(G48&lt;BondCalculator!$B$13,G48+E49,BondCalculator!$B$13))</f>
        <v>13000</v>
      </c>
      <c r="E49" s="117">
        <f>C49*BondCalculator!$B$7/12</f>
        <v>6220.582609818027</v>
      </c>
      <c r="F49" s="117">
        <f t="shared" si="3"/>
        <v>6779.417390181973</v>
      </c>
      <c r="G49" s="117">
        <f t="shared" si="4"/>
        <v>739690.4957879813</v>
      </c>
      <c r="H49" s="94">
        <f t="shared" si="5"/>
        <v>0.7396904957879813</v>
      </c>
      <c r="J49" s="85">
        <f t="shared" si="6"/>
        <v>746469.9131781632</v>
      </c>
      <c r="K49" s="85">
        <f>IF(N48=0,0,IF(N48&lt;BondCalculator!$B$14+BondCalculator!$B$15,N48+L49,BondCalculator!$B$14+BondCalculator!$B$15))</f>
        <v>13000</v>
      </c>
      <c r="L49" s="85">
        <f>J49*BondCalculator!$B$7/12</f>
        <v>6220.582609818027</v>
      </c>
      <c r="M49" s="85">
        <f t="shared" si="7"/>
        <v>6779.417390181973</v>
      </c>
      <c r="N49" s="85">
        <f t="shared" si="0"/>
        <v>739690.4957879813</v>
      </c>
      <c r="P49" s="85">
        <f t="shared" si="1"/>
        <v>0</v>
      </c>
      <c r="Q49" s="86">
        <f>-PV(BondCalculator!$B$10/12,B49,0,1,0)</f>
        <v>0.8386211513547115</v>
      </c>
      <c r="S49" s="87">
        <f t="shared" si="2"/>
        <v>0</v>
      </c>
    </row>
    <row r="50" spans="1:19" ht="15" customHeight="1">
      <c r="A50" s="82" t="s">
        <v>99</v>
      </c>
      <c r="B50" s="93">
        <v>47</v>
      </c>
      <c r="C50" s="117">
        <f t="shared" si="8"/>
        <v>739690.4957879813</v>
      </c>
      <c r="D50" s="117">
        <f>IF(G49=0,0,IF(G49&lt;BondCalculator!$B$13,G49+E50,BondCalculator!$B$13))</f>
        <v>13000</v>
      </c>
      <c r="E50" s="117">
        <f>C50*BondCalculator!$B$7/12</f>
        <v>6164.087464899844</v>
      </c>
      <c r="F50" s="117">
        <f t="shared" si="3"/>
        <v>6835.912535100156</v>
      </c>
      <c r="G50" s="117">
        <f t="shared" si="4"/>
        <v>732854.5832528812</v>
      </c>
      <c r="H50" s="94">
        <f t="shared" si="5"/>
        <v>0.7328545832528812</v>
      </c>
      <c r="J50" s="85">
        <f t="shared" si="6"/>
        <v>739690.4957879813</v>
      </c>
      <c r="K50" s="85">
        <f>IF(N49=0,0,IF(N49&lt;BondCalculator!$B$14+BondCalculator!$B$15,N49+L50,BondCalculator!$B$14+BondCalculator!$B$15))</f>
        <v>13000</v>
      </c>
      <c r="L50" s="85">
        <f>J50*BondCalculator!$B$7/12</f>
        <v>6164.087464899844</v>
      </c>
      <c r="M50" s="85">
        <f t="shared" si="7"/>
        <v>6835.912535100156</v>
      </c>
      <c r="N50" s="85">
        <f t="shared" si="0"/>
        <v>732854.5832528812</v>
      </c>
      <c r="P50" s="85">
        <f t="shared" si="1"/>
        <v>0</v>
      </c>
      <c r="Q50" s="86">
        <f>-PV(BondCalculator!$B$10/12,B50,0,1,0)</f>
        <v>0.8354187129550504</v>
      </c>
      <c r="S50" s="87">
        <f t="shared" si="2"/>
        <v>0</v>
      </c>
    </row>
    <row r="51" spans="1:19" ht="15" customHeight="1">
      <c r="A51" s="82" t="s">
        <v>99</v>
      </c>
      <c r="B51" s="93">
        <v>48</v>
      </c>
      <c r="C51" s="117">
        <f t="shared" si="8"/>
        <v>732854.5832528812</v>
      </c>
      <c r="D51" s="117">
        <f>IF(G50=0,0,IF(G50&lt;BondCalculator!$B$13,G50+E51,BondCalculator!$B$13))</f>
        <v>13000</v>
      </c>
      <c r="E51" s="117">
        <f>C51*BondCalculator!$B$7/12</f>
        <v>6107.121527107344</v>
      </c>
      <c r="F51" s="117">
        <f t="shared" si="3"/>
        <v>6892.878472892656</v>
      </c>
      <c r="G51" s="117">
        <f t="shared" si="4"/>
        <v>725961.7047799885</v>
      </c>
      <c r="H51" s="94">
        <f t="shared" si="5"/>
        <v>0.7259617047799886</v>
      </c>
      <c r="J51" s="85">
        <f t="shared" si="6"/>
        <v>732854.5832528812</v>
      </c>
      <c r="K51" s="85">
        <f>IF(N50=0,0,IF(N50&lt;BondCalculator!$B$14+BondCalculator!$B$15,N50+L51,BondCalculator!$B$14+BondCalculator!$B$15))</f>
        <v>13000</v>
      </c>
      <c r="L51" s="85">
        <f>J51*BondCalculator!$B$7/12</f>
        <v>6107.121527107344</v>
      </c>
      <c r="M51" s="85">
        <f t="shared" si="7"/>
        <v>6892.878472892656</v>
      </c>
      <c r="N51" s="85">
        <f t="shared" si="0"/>
        <v>725961.7047799885</v>
      </c>
      <c r="P51" s="85">
        <f t="shared" si="1"/>
        <v>0</v>
      </c>
      <c r="Q51" s="86">
        <f>-PV(BondCalculator!$B$10/12,B51,0,1,0)</f>
        <v>0.8322285036909021</v>
      </c>
      <c r="S51" s="87">
        <f t="shared" si="2"/>
        <v>0</v>
      </c>
    </row>
    <row r="52" spans="1:19" ht="15" customHeight="1">
      <c r="A52" s="82" t="s">
        <v>100</v>
      </c>
      <c r="B52" s="93">
        <v>49</v>
      </c>
      <c r="C52" s="117">
        <f t="shared" si="8"/>
        <v>725961.7047799885</v>
      </c>
      <c r="D52" s="117">
        <f>IF(G51=0,0,IF(G51&lt;BondCalculator!$B$13,G51+E52,BondCalculator!$B$13))</f>
        <v>13000</v>
      </c>
      <c r="E52" s="117">
        <f>C52*BondCalculator!$B$7/12</f>
        <v>6049.680873166571</v>
      </c>
      <c r="F52" s="117">
        <f t="shared" si="3"/>
        <v>6950.319126833429</v>
      </c>
      <c r="G52" s="117">
        <f t="shared" si="4"/>
        <v>719011.385653155</v>
      </c>
      <c r="H52" s="94">
        <f t="shared" si="5"/>
        <v>0.719011385653155</v>
      </c>
      <c r="J52" s="85">
        <f t="shared" si="6"/>
        <v>725961.7047799885</v>
      </c>
      <c r="K52" s="85">
        <f>IF(N51=0,0,IF(N51&lt;BondCalculator!$B$14+BondCalculator!$B$15,N51+L52,BondCalculator!$B$14+BondCalculator!$B$15))</f>
        <v>13000</v>
      </c>
      <c r="L52" s="85">
        <f>J52*BondCalculator!$B$7/12</f>
        <v>6049.680873166571</v>
      </c>
      <c r="M52" s="85">
        <f t="shared" si="7"/>
        <v>6950.319126833429</v>
      </c>
      <c r="N52" s="85">
        <f t="shared" si="0"/>
        <v>719011.385653155</v>
      </c>
      <c r="P52" s="85">
        <f t="shared" si="1"/>
        <v>0</v>
      </c>
      <c r="Q52" s="86">
        <f>-PV(BondCalculator!$B$10/12,B52,0,1,0)</f>
        <v>0.8290504768629274</v>
      </c>
      <c r="S52" s="87">
        <f t="shared" si="2"/>
        <v>0</v>
      </c>
    </row>
    <row r="53" spans="1:19" ht="15" customHeight="1">
      <c r="A53" s="82" t="s">
        <v>100</v>
      </c>
      <c r="B53" s="93">
        <v>50</v>
      </c>
      <c r="C53" s="117">
        <f t="shared" si="8"/>
        <v>719011.385653155</v>
      </c>
      <c r="D53" s="117">
        <f>IF(G52=0,0,IF(G52&lt;BondCalculator!$B$13,G52+E53,BondCalculator!$B$13))</f>
        <v>13000</v>
      </c>
      <c r="E53" s="117">
        <f>C53*BondCalculator!$B$7/12</f>
        <v>5991.761547109625</v>
      </c>
      <c r="F53" s="117">
        <f t="shared" si="3"/>
        <v>7008.238452890375</v>
      </c>
      <c r="G53" s="117">
        <f t="shared" si="4"/>
        <v>712003.1472002646</v>
      </c>
      <c r="H53" s="94">
        <f t="shared" si="5"/>
        <v>0.7120031472002646</v>
      </c>
      <c r="J53" s="85">
        <f t="shared" si="6"/>
        <v>719011.385653155</v>
      </c>
      <c r="K53" s="85">
        <f>IF(N52=0,0,IF(N52&lt;BondCalculator!$B$14+BondCalculator!$B$15,N52+L53,BondCalculator!$B$14+BondCalculator!$B$15))</f>
        <v>13000</v>
      </c>
      <c r="L53" s="85">
        <f>J53*BondCalculator!$B$7/12</f>
        <v>5991.761547109625</v>
      </c>
      <c r="M53" s="85">
        <f t="shared" si="7"/>
        <v>7008.238452890375</v>
      </c>
      <c r="N53" s="85">
        <f t="shared" si="0"/>
        <v>712003.1472002646</v>
      </c>
      <c r="P53" s="85">
        <f t="shared" si="1"/>
        <v>0</v>
      </c>
      <c r="Q53" s="86">
        <f>-PV(BondCalculator!$B$10/12,B53,0,1,0)</f>
        <v>0.8258845859501188</v>
      </c>
      <c r="S53" s="87">
        <f t="shared" si="2"/>
        <v>0</v>
      </c>
    </row>
    <row r="54" spans="1:19" ht="15" customHeight="1">
      <c r="A54" s="82" t="s">
        <v>100</v>
      </c>
      <c r="B54" s="93">
        <v>51</v>
      </c>
      <c r="C54" s="117">
        <f t="shared" si="8"/>
        <v>712003.1472002646</v>
      </c>
      <c r="D54" s="117">
        <f>IF(G53=0,0,IF(G53&lt;BondCalculator!$B$13,G53+E54,BondCalculator!$B$13))</f>
        <v>13000</v>
      </c>
      <c r="E54" s="117">
        <f>C54*BondCalculator!$B$7/12</f>
        <v>5933.359560002205</v>
      </c>
      <c r="F54" s="117">
        <f t="shared" si="3"/>
        <v>7066.640439997795</v>
      </c>
      <c r="G54" s="117">
        <f t="shared" si="4"/>
        <v>704936.5067602668</v>
      </c>
      <c r="H54" s="94">
        <f t="shared" si="5"/>
        <v>0.7049365067602669</v>
      </c>
      <c r="J54" s="85">
        <f t="shared" si="6"/>
        <v>712003.1472002646</v>
      </c>
      <c r="K54" s="85">
        <f>IF(N53=0,0,IF(N53&lt;BondCalculator!$B$14+BondCalculator!$B$15,N53+L54,BondCalculator!$B$14+BondCalculator!$B$15))</f>
        <v>13000</v>
      </c>
      <c r="L54" s="85">
        <f>J54*BondCalculator!$B$7/12</f>
        <v>5933.359560002205</v>
      </c>
      <c r="M54" s="85">
        <f t="shared" si="7"/>
        <v>7066.640439997795</v>
      </c>
      <c r="N54" s="85">
        <f t="shared" si="0"/>
        <v>704936.5067602668</v>
      </c>
      <c r="P54" s="85">
        <f t="shared" si="1"/>
        <v>0</v>
      </c>
      <c r="Q54" s="86">
        <f>-PV(BondCalculator!$B$10/12,B54,0,1,0)</f>
        <v>0.8227307846091171</v>
      </c>
      <c r="S54" s="87">
        <f t="shared" si="2"/>
        <v>0</v>
      </c>
    </row>
    <row r="55" spans="1:19" ht="15" customHeight="1">
      <c r="A55" s="82" t="s">
        <v>100</v>
      </c>
      <c r="B55" s="93">
        <v>52</v>
      </c>
      <c r="C55" s="117">
        <f t="shared" si="8"/>
        <v>704936.5067602668</v>
      </c>
      <c r="D55" s="117">
        <f>IF(G54=0,0,IF(G54&lt;BondCalculator!$B$13,G54+E55,BondCalculator!$B$13))</f>
        <v>13000</v>
      </c>
      <c r="E55" s="117">
        <f>C55*BondCalculator!$B$7/12</f>
        <v>5874.470889668891</v>
      </c>
      <c r="F55" s="117">
        <f t="shared" si="3"/>
        <v>7125.529110331109</v>
      </c>
      <c r="G55" s="117">
        <f t="shared" si="4"/>
        <v>697810.9776499358</v>
      </c>
      <c r="H55" s="94">
        <f t="shared" si="5"/>
        <v>0.6978109776499357</v>
      </c>
      <c r="J55" s="85">
        <f t="shared" si="6"/>
        <v>704936.5067602668</v>
      </c>
      <c r="K55" s="85">
        <f>IF(N54=0,0,IF(N54&lt;BondCalculator!$B$14+BondCalculator!$B$15,N54+L55,BondCalculator!$B$14+BondCalculator!$B$15))</f>
        <v>13000</v>
      </c>
      <c r="L55" s="85">
        <f>J55*BondCalculator!$B$7/12</f>
        <v>5874.470889668891</v>
      </c>
      <c r="M55" s="85">
        <f t="shared" si="7"/>
        <v>7125.529110331109</v>
      </c>
      <c r="N55" s="85">
        <f t="shared" si="0"/>
        <v>697810.9776499358</v>
      </c>
      <c r="P55" s="85">
        <f t="shared" si="1"/>
        <v>0</v>
      </c>
      <c r="Q55" s="86">
        <f>-PV(BondCalculator!$B$10/12,B55,0,1,0)</f>
        <v>0.8195890266735354</v>
      </c>
      <c r="S55" s="87">
        <f t="shared" si="2"/>
        <v>0</v>
      </c>
    </row>
    <row r="56" spans="1:19" ht="15" customHeight="1">
      <c r="A56" s="82" t="s">
        <v>100</v>
      </c>
      <c r="B56" s="93">
        <v>53</v>
      </c>
      <c r="C56" s="117">
        <f t="shared" si="8"/>
        <v>697810.9776499358</v>
      </c>
      <c r="D56" s="117">
        <f>IF(G55=0,0,IF(G55&lt;BondCalculator!$B$13,G55+E56,BondCalculator!$B$13))</f>
        <v>13000</v>
      </c>
      <c r="E56" s="117">
        <f>C56*BondCalculator!$B$7/12</f>
        <v>5815.091480416132</v>
      </c>
      <c r="F56" s="117">
        <f t="shared" si="3"/>
        <v>7184.908519583868</v>
      </c>
      <c r="G56" s="117">
        <f t="shared" si="4"/>
        <v>690626.0691303519</v>
      </c>
      <c r="H56" s="94">
        <f t="shared" si="5"/>
        <v>0.6906260691303518</v>
      </c>
      <c r="J56" s="85">
        <f t="shared" si="6"/>
        <v>697810.9776499358</v>
      </c>
      <c r="K56" s="85">
        <f>IF(N55=0,0,IF(N55&lt;BondCalculator!$B$14+BondCalculator!$B$15,N55+L56,BondCalculator!$B$14+BondCalculator!$B$15))</f>
        <v>13000</v>
      </c>
      <c r="L56" s="85">
        <f>J56*BondCalculator!$B$7/12</f>
        <v>5815.091480416132</v>
      </c>
      <c r="M56" s="85">
        <f t="shared" si="7"/>
        <v>7184.908519583868</v>
      </c>
      <c r="N56" s="85">
        <f t="shared" si="0"/>
        <v>690626.0691303519</v>
      </c>
      <c r="P56" s="85">
        <f t="shared" si="1"/>
        <v>0</v>
      </c>
      <c r="Q56" s="86">
        <f>-PV(BondCalculator!$B$10/12,B56,0,1,0)</f>
        <v>0.8164592661532811</v>
      </c>
      <c r="S56" s="87">
        <f t="shared" si="2"/>
        <v>0</v>
      </c>
    </row>
    <row r="57" spans="1:19" ht="15" customHeight="1">
      <c r="A57" s="82" t="s">
        <v>100</v>
      </c>
      <c r="B57" s="93">
        <v>54</v>
      </c>
      <c r="C57" s="117">
        <f t="shared" si="8"/>
        <v>690626.0691303519</v>
      </c>
      <c r="D57" s="117">
        <f>IF(G56=0,0,IF(G56&lt;BondCalculator!$B$13,G56+E57,BondCalculator!$B$13))</f>
        <v>13000</v>
      </c>
      <c r="E57" s="117">
        <f>C57*BondCalculator!$B$7/12</f>
        <v>5755.217242752933</v>
      </c>
      <c r="F57" s="117">
        <f t="shared" si="3"/>
        <v>7244.782757247067</v>
      </c>
      <c r="G57" s="117">
        <f t="shared" si="4"/>
        <v>683381.2863731048</v>
      </c>
      <c r="H57" s="94">
        <f t="shared" si="5"/>
        <v>0.6833812863731048</v>
      </c>
      <c r="J57" s="85">
        <f t="shared" si="6"/>
        <v>690626.0691303519</v>
      </c>
      <c r="K57" s="85">
        <f>IF(N56=0,0,IF(N56&lt;BondCalculator!$B$14+BondCalculator!$B$15,N56+L57,BondCalculator!$B$14+BondCalculator!$B$15))</f>
        <v>13000</v>
      </c>
      <c r="L57" s="85">
        <f>J57*BondCalculator!$B$7/12</f>
        <v>5755.217242752933</v>
      </c>
      <c r="M57" s="85">
        <f t="shared" si="7"/>
        <v>7244.782757247067</v>
      </c>
      <c r="N57" s="85">
        <f t="shared" si="0"/>
        <v>683381.2863731048</v>
      </c>
      <c r="P57" s="85">
        <f t="shared" si="1"/>
        <v>0</v>
      </c>
      <c r="Q57" s="86">
        <f>-PV(BondCalculator!$B$10/12,B57,0,1,0)</f>
        <v>0.8133414572338845</v>
      </c>
      <c r="S57" s="87">
        <f t="shared" si="2"/>
        <v>0</v>
      </c>
    </row>
    <row r="58" spans="1:19" ht="15" customHeight="1">
      <c r="A58" s="82" t="s">
        <v>100</v>
      </c>
      <c r="B58" s="93">
        <v>55</v>
      </c>
      <c r="C58" s="117">
        <f t="shared" si="8"/>
        <v>683381.2863731048</v>
      </c>
      <c r="D58" s="117">
        <f>IF(G57=0,0,IF(G57&lt;BondCalculator!$B$13,G57+E58,BondCalculator!$B$13))</f>
        <v>13000</v>
      </c>
      <c r="E58" s="117">
        <f>C58*BondCalculator!$B$7/12</f>
        <v>5694.8440531092065</v>
      </c>
      <c r="F58" s="117">
        <f t="shared" si="3"/>
        <v>7305.1559468907935</v>
      </c>
      <c r="G58" s="117">
        <f t="shared" si="4"/>
        <v>676076.130426214</v>
      </c>
      <c r="H58" s="94">
        <f t="shared" si="5"/>
        <v>0.676076130426214</v>
      </c>
      <c r="J58" s="85">
        <f t="shared" si="6"/>
        <v>683381.2863731048</v>
      </c>
      <c r="K58" s="85">
        <f>IF(N57=0,0,IF(N57&lt;BondCalculator!$B$14+BondCalculator!$B$15,N57+L58,BondCalculator!$B$14+BondCalculator!$B$15))</f>
        <v>13000</v>
      </c>
      <c r="L58" s="85">
        <f>J58*BondCalculator!$B$7/12</f>
        <v>5694.8440531092065</v>
      </c>
      <c r="M58" s="85">
        <f t="shared" si="7"/>
        <v>7305.1559468907935</v>
      </c>
      <c r="N58" s="85">
        <f t="shared" si="0"/>
        <v>676076.130426214</v>
      </c>
      <c r="P58" s="85">
        <f t="shared" si="1"/>
        <v>0</v>
      </c>
      <c r="Q58" s="86">
        <f>-PV(BondCalculator!$B$10/12,B58,0,1,0)</f>
        <v>0.8102355542758272</v>
      </c>
      <c r="S58" s="87">
        <f t="shared" si="2"/>
        <v>0</v>
      </c>
    </row>
    <row r="59" spans="1:19" ht="15" customHeight="1">
      <c r="A59" s="82" t="s">
        <v>100</v>
      </c>
      <c r="B59" s="93">
        <v>56</v>
      </c>
      <c r="C59" s="117">
        <f t="shared" si="8"/>
        <v>676076.130426214</v>
      </c>
      <c r="D59" s="117">
        <f>IF(G58=0,0,IF(G58&lt;BondCalculator!$B$13,G58+E59,BondCalculator!$B$13))</f>
        <v>13000</v>
      </c>
      <c r="E59" s="117">
        <f>C59*BondCalculator!$B$7/12</f>
        <v>5633.967753551783</v>
      </c>
      <c r="F59" s="117">
        <f t="shared" si="3"/>
        <v>7366.032246448217</v>
      </c>
      <c r="G59" s="117">
        <f t="shared" si="4"/>
        <v>668710.0981797657</v>
      </c>
      <c r="H59" s="94">
        <f t="shared" si="5"/>
        <v>0.6687100981797658</v>
      </c>
      <c r="J59" s="85">
        <f t="shared" si="6"/>
        <v>676076.130426214</v>
      </c>
      <c r="K59" s="85">
        <f>IF(N58=0,0,IF(N58&lt;BondCalculator!$B$14+BondCalculator!$B$15,N58+L59,BondCalculator!$B$14+BondCalculator!$B$15))</f>
        <v>13000</v>
      </c>
      <c r="L59" s="85">
        <f>J59*BondCalculator!$B$7/12</f>
        <v>5633.967753551783</v>
      </c>
      <c r="M59" s="85">
        <f t="shared" si="7"/>
        <v>7366.032246448217</v>
      </c>
      <c r="N59" s="85">
        <f t="shared" si="0"/>
        <v>668710.0981797657</v>
      </c>
      <c r="P59" s="85">
        <f t="shared" si="1"/>
        <v>0</v>
      </c>
      <c r="Q59" s="86">
        <f>-PV(BondCalculator!$B$10/12,B59,0,1,0)</f>
        <v>0.807141511813874</v>
      </c>
      <c r="S59" s="87">
        <f t="shared" si="2"/>
        <v>0</v>
      </c>
    </row>
    <row r="60" spans="1:19" ht="15" customHeight="1">
      <c r="A60" s="82" t="s">
        <v>100</v>
      </c>
      <c r="B60" s="93">
        <v>57</v>
      </c>
      <c r="C60" s="117">
        <f t="shared" si="8"/>
        <v>668710.0981797657</v>
      </c>
      <c r="D60" s="117">
        <f>IF(G59=0,0,IF(G59&lt;BondCalculator!$B$13,G59+E60,BondCalculator!$B$13))</f>
        <v>13000</v>
      </c>
      <c r="E60" s="117">
        <f>C60*BondCalculator!$B$7/12</f>
        <v>5572.584151498048</v>
      </c>
      <c r="F60" s="117">
        <f t="shared" si="3"/>
        <v>7427.415848501952</v>
      </c>
      <c r="G60" s="117">
        <f t="shared" si="4"/>
        <v>661282.6823312638</v>
      </c>
      <c r="H60" s="94">
        <f t="shared" si="5"/>
        <v>0.6612826823312637</v>
      </c>
      <c r="J60" s="85">
        <f t="shared" si="6"/>
        <v>668710.0981797657</v>
      </c>
      <c r="K60" s="85">
        <f>IF(N59=0,0,IF(N59&lt;BondCalculator!$B$14+BondCalculator!$B$15,N59+L60,BondCalculator!$B$14+BondCalculator!$B$15))</f>
        <v>13000</v>
      </c>
      <c r="L60" s="85">
        <f>J60*BondCalculator!$B$7/12</f>
        <v>5572.584151498048</v>
      </c>
      <c r="M60" s="85">
        <f t="shared" si="7"/>
        <v>7427.415848501952</v>
      </c>
      <c r="N60" s="85">
        <f t="shared" si="0"/>
        <v>661282.6823312638</v>
      </c>
      <c r="P60" s="85">
        <f t="shared" si="1"/>
        <v>0</v>
      </c>
      <c r="Q60" s="86">
        <f>-PV(BondCalculator!$B$10/12,B60,0,1,0)</f>
        <v>0.8040592845564077</v>
      </c>
      <c r="S60" s="87">
        <f t="shared" si="2"/>
        <v>0</v>
      </c>
    </row>
    <row r="61" spans="1:19" ht="15" customHeight="1">
      <c r="A61" s="82" t="s">
        <v>100</v>
      </c>
      <c r="B61" s="93">
        <v>58</v>
      </c>
      <c r="C61" s="117">
        <f t="shared" si="8"/>
        <v>661282.6823312638</v>
      </c>
      <c r="D61" s="117">
        <f>IF(G60=0,0,IF(G60&lt;BondCalculator!$B$13,G60+E61,BondCalculator!$B$13))</f>
        <v>13000</v>
      </c>
      <c r="E61" s="117">
        <f>C61*BondCalculator!$B$7/12</f>
        <v>5510.689019427198</v>
      </c>
      <c r="F61" s="117">
        <f t="shared" si="3"/>
        <v>7489.310980572802</v>
      </c>
      <c r="G61" s="117">
        <f t="shared" si="4"/>
        <v>653793.371350691</v>
      </c>
      <c r="H61" s="94">
        <f t="shared" si="5"/>
        <v>0.6537933713506909</v>
      </c>
      <c r="J61" s="85">
        <f t="shared" si="6"/>
        <v>661282.6823312638</v>
      </c>
      <c r="K61" s="85">
        <f>IF(N60=0,0,IF(N60&lt;BondCalculator!$B$14+BondCalculator!$B$15,N60+L61,BondCalculator!$B$14+BondCalculator!$B$15))</f>
        <v>13000</v>
      </c>
      <c r="L61" s="85">
        <f>J61*BondCalculator!$B$7/12</f>
        <v>5510.689019427198</v>
      </c>
      <c r="M61" s="85">
        <f t="shared" si="7"/>
        <v>7489.310980572802</v>
      </c>
      <c r="N61" s="85">
        <f t="shared" si="0"/>
        <v>653793.371350691</v>
      </c>
      <c r="P61" s="85">
        <f t="shared" si="1"/>
        <v>0</v>
      </c>
      <c r="Q61" s="86">
        <f>-PV(BondCalculator!$B$10/12,B61,0,1,0)</f>
        <v>0.8009888273847661</v>
      </c>
      <c r="S61" s="87">
        <f t="shared" si="2"/>
        <v>0</v>
      </c>
    </row>
    <row r="62" spans="1:19" ht="15" customHeight="1">
      <c r="A62" s="82" t="s">
        <v>100</v>
      </c>
      <c r="B62" s="93">
        <v>59</v>
      </c>
      <c r="C62" s="117">
        <f t="shared" si="8"/>
        <v>653793.371350691</v>
      </c>
      <c r="D62" s="117">
        <f>IF(G61=0,0,IF(G61&lt;BondCalculator!$B$13,G61+E62,BondCalculator!$B$13))</f>
        <v>13000</v>
      </c>
      <c r="E62" s="117">
        <f>C62*BondCalculator!$B$7/12</f>
        <v>5448.278094589092</v>
      </c>
      <c r="F62" s="117">
        <f t="shared" si="3"/>
        <v>7551.721905410908</v>
      </c>
      <c r="G62" s="117">
        <f t="shared" si="4"/>
        <v>646241.6494452801</v>
      </c>
      <c r="H62" s="94">
        <f t="shared" si="5"/>
        <v>0.6462416494452801</v>
      </c>
      <c r="J62" s="85">
        <f t="shared" si="6"/>
        <v>653793.371350691</v>
      </c>
      <c r="K62" s="85">
        <f>IF(N61=0,0,IF(N61&lt;BondCalculator!$B$14+BondCalculator!$B$15,N61+L62,BondCalculator!$B$14+BondCalculator!$B$15))</f>
        <v>13000</v>
      </c>
      <c r="L62" s="85">
        <f>J62*BondCalculator!$B$7/12</f>
        <v>5448.278094589092</v>
      </c>
      <c r="M62" s="85">
        <f t="shared" si="7"/>
        <v>7551.721905410908</v>
      </c>
      <c r="N62" s="85">
        <f t="shared" si="0"/>
        <v>646241.6494452801</v>
      </c>
      <c r="P62" s="85">
        <f t="shared" si="1"/>
        <v>0</v>
      </c>
      <c r="Q62" s="86">
        <f>-PV(BondCalculator!$B$10/12,B62,0,1,0)</f>
        <v>0.7979300953525814</v>
      </c>
      <c r="S62" s="87">
        <f t="shared" si="2"/>
        <v>0</v>
      </c>
    </row>
    <row r="63" spans="1:19" ht="15" customHeight="1">
      <c r="A63" s="82" t="s">
        <v>100</v>
      </c>
      <c r="B63" s="93">
        <v>60</v>
      </c>
      <c r="C63" s="117">
        <f t="shared" si="8"/>
        <v>646241.6494452801</v>
      </c>
      <c r="D63" s="117">
        <f>IF(G62=0,0,IF(G62&lt;BondCalculator!$B$13,G62+E63,BondCalculator!$B$13))</f>
        <v>13000</v>
      </c>
      <c r="E63" s="117">
        <f>C63*BondCalculator!$B$7/12</f>
        <v>5385.347078710668</v>
      </c>
      <c r="F63" s="117">
        <f t="shared" si="3"/>
        <v>7614.652921289332</v>
      </c>
      <c r="G63" s="117">
        <f t="shared" si="4"/>
        <v>638626.9965239908</v>
      </c>
      <c r="H63" s="94">
        <f t="shared" si="5"/>
        <v>0.6386269965239908</v>
      </c>
      <c r="J63" s="85">
        <f t="shared" si="6"/>
        <v>646241.6494452801</v>
      </c>
      <c r="K63" s="85">
        <f>IF(N62=0,0,IF(N62&lt;BondCalculator!$B$14+BondCalculator!$B$15,N62+L63,BondCalculator!$B$14+BondCalculator!$B$15))</f>
        <v>13000</v>
      </c>
      <c r="L63" s="85">
        <f>J63*BondCalculator!$B$7/12</f>
        <v>5385.347078710668</v>
      </c>
      <c r="M63" s="85">
        <f t="shared" si="7"/>
        <v>7614.652921289332</v>
      </c>
      <c r="N63" s="85">
        <f t="shared" si="0"/>
        <v>638626.9965239908</v>
      </c>
      <c r="P63" s="85">
        <f t="shared" si="1"/>
        <v>0</v>
      </c>
      <c r="Q63" s="86">
        <f>-PV(BondCalculator!$B$10/12,B63,0,1,0)</f>
        <v>0.7948830436851217</v>
      </c>
      <c r="S63" s="87">
        <f t="shared" si="2"/>
        <v>0</v>
      </c>
    </row>
    <row r="64" spans="1:19" ht="15" customHeight="1">
      <c r="A64" s="82" t="s">
        <v>101</v>
      </c>
      <c r="B64" s="93">
        <v>61</v>
      </c>
      <c r="C64" s="117">
        <f t="shared" si="8"/>
        <v>638626.9965239908</v>
      </c>
      <c r="D64" s="117">
        <f>IF(G63=0,0,IF(G63&lt;BondCalculator!$B$13,G63+E64,BondCalculator!$B$13))</f>
        <v>13000</v>
      </c>
      <c r="E64" s="117">
        <f>C64*BondCalculator!$B$7/12</f>
        <v>5321.891637699923</v>
      </c>
      <c r="F64" s="117">
        <f t="shared" si="3"/>
        <v>7678.108362300077</v>
      </c>
      <c r="G64" s="117">
        <f t="shared" si="4"/>
        <v>630948.8881616907</v>
      </c>
      <c r="H64" s="94">
        <f t="shared" si="5"/>
        <v>0.6309488881616907</v>
      </c>
      <c r="J64" s="85">
        <f t="shared" si="6"/>
        <v>638626.9965239908</v>
      </c>
      <c r="K64" s="85">
        <f>IF(N63=0,0,IF(N63&lt;BondCalculator!$B$14+BondCalculator!$B$15,N63+L64,BondCalculator!$B$14+BondCalculator!$B$15))</f>
        <v>13000</v>
      </c>
      <c r="L64" s="85">
        <f>J64*BondCalculator!$B$7/12</f>
        <v>5321.891637699923</v>
      </c>
      <c r="M64" s="85">
        <f t="shared" si="7"/>
        <v>7678.108362300077</v>
      </c>
      <c r="N64" s="85">
        <f t="shared" si="0"/>
        <v>630948.8881616907</v>
      </c>
      <c r="P64" s="85">
        <f t="shared" si="1"/>
        <v>0</v>
      </c>
      <c r="Q64" s="86">
        <f>-PV(BondCalculator!$B$10/12,B64,0,1,0)</f>
        <v>0.7918476277786369</v>
      </c>
      <c r="S64" s="87">
        <f t="shared" si="2"/>
        <v>0</v>
      </c>
    </row>
    <row r="65" spans="1:19" ht="15" customHeight="1">
      <c r="A65" s="82" t="s">
        <v>101</v>
      </c>
      <c r="B65" s="93">
        <v>62</v>
      </c>
      <c r="C65" s="117">
        <f t="shared" si="8"/>
        <v>630948.8881616907</v>
      </c>
      <c r="D65" s="117">
        <f>IF(G64=0,0,IF(G64&lt;BondCalculator!$B$13,G64+E65,BondCalculator!$B$13))</f>
        <v>13000</v>
      </c>
      <c r="E65" s="117">
        <f>C65*BondCalculator!$B$7/12</f>
        <v>5257.907401347423</v>
      </c>
      <c r="F65" s="117">
        <f t="shared" si="3"/>
        <v>7742.092598652577</v>
      </c>
      <c r="G65" s="117">
        <f t="shared" si="4"/>
        <v>623206.7955630381</v>
      </c>
      <c r="H65" s="94">
        <f t="shared" si="5"/>
        <v>0.623206795563038</v>
      </c>
      <c r="J65" s="85">
        <f t="shared" si="6"/>
        <v>630948.8881616907</v>
      </c>
      <c r="K65" s="85">
        <f>IF(N64=0,0,IF(N64&lt;BondCalculator!$B$14+BondCalculator!$B$15,N64+L65,BondCalculator!$B$14+BondCalculator!$B$15))</f>
        <v>13000</v>
      </c>
      <c r="L65" s="85">
        <f>J65*BondCalculator!$B$7/12</f>
        <v>5257.907401347423</v>
      </c>
      <c r="M65" s="85">
        <f t="shared" si="7"/>
        <v>7742.092598652577</v>
      </c>
      <c r="N65" s="85">
        <f t="shared" si="0"/>
        <v>623206.7955630381</v>
      </c>
      <c r="P65" s="85">
        <f t="shared" si="1"/>
        <v>0</v>
      </c>
      <c r="Q65" s="86">
        <f>-PV(BondCalculator!$B$10/12,B65,0,1,0)</f>
        <v>0.7888238031997047</v>
      </c>
      <c r="S65" s="87">
        <f t="shared" si="2"/>
        <v>0</v>
      </c>
    </row>
    <row r="66" spans="1:19" ht="15" customHeight="1">
      <c r="A66" s="82" t="s">
        <v>101</v>
      </c>
      <c r="B66" s="93">
        <v>63</v>
      </c>
      <c r="C66" s="117">
        <f t="shared" si="8"/>
        <v>623206.7955630381</v>
      </c>
      <c r="D66" s="117">
        <f>IF(G65=0,0,IF(G65&lt;BondCalculator!$B$13,G65+E66,BondCalculator!$B$13))</f>
        <v>13000</v>
      </c>
      <c r="E66" s="117">
        <f>C66*BondCalculator!$B$7/12</f>
        <v>5193.389963025317</v>
      </c>
      <c r="F66" s="117">
        <f t="shared" si="3"/>
        <v>7806.610036974683</v>
      </c>
      <c r="G66" s="117">
        <f t="shared" si="4"/>
        <v>615400.1855260634</v>
      </c>
      <c r="H66" s="94">
        <f t="shared" si="5"/>
        <v>0.6154001855260635</v>
      </c>
      <c r="J66" s="85">
        <f t="shared" si="6"/>
        <v>623206.7955630381</v>
      </c>
      <c r="K66" s="85">
        <f>IF(N65=0,0,IF(N65&lt;BondCalculator!$B$14+BondCalculator!$B$15,N65+L66,BondCalculator!$B$14+BondCalculator!$B$15))</f>
        <v>13000</v>
      </c>
      <c r="L66" s="85">
        <f>J66*BondCalculator!$B$7/12</f>
        <v>5193.389963025317</v>
      </c>
      <c r="M66" s="85">
        <f t="shared" si="7"/>
        <v>7806.610036974683</v>
      </c>
      <c r="N66" s="85">
        <f t="shared" si="0"/>
        <v>615400.1855260634</v>
      </c>
      <c r="P66" s="85">
        <f t="shared" si="1"/>
        <v>0</v>
      </c>
      <c r="Q66" s="86">
        <f>-PV(BondCalculator!$B$10/12,B66,0,1,0)</f>
        <v>0.7858115256845805</v>
      </c>
      <c r="S66" s="87">
        <f t="shared" si="2"/>
        <v>0</v>
      </c>
    </row>
    <row r="67" spans="1:19" ht="15" customHeight="1">
      <c r="A67" s="82" t="s">
        <v>101</v>
      </c>
      <c r="B67" s="93">
        <v>64</v>
      </c>
      <c r="C67" s="117">
        <f t="shared" si="8"/>
        <v>615400.1855260634</v>
      </c>
      <c r="D67" s="117">
        <f>IF(G66=0,0,IF(G66&lt;BondCalculator!$B$13,G66+E67,BondCalculator!$B$13))</f>
        <v>13000</v>
      </c>
      <c r="E67" s="117">
        <f>C67*BondCalculator!$B$7/12</f>
        <v>5128.334879383862</v>
      </c>
      <c r="F67" s="117">
        <f t="shared" si="3"/>
        <v>7871.665120616138</v>
      </c>
      <c r="G67" s="117">
        <f t="shared" si="4"/>
        <v>607528.5204054473</v>
      </c>
      <c r="H67" s="94">
        <f t="shared" si="5"/>
        <v>0.6075285204054474</v>
      </c>
      <c r="J67" s="85">
        <f t="shared" si="6"/>
        <v>615400.1855260634</v>
      </c>
      <c r="K67" s="85">
        <f>IF(N66=0,0,IF(N66&lt;BondCalculator!$B$14+BondCalculator!$B$15,N66+L67,BondCalculator!$B$14+BondCalculator!$B$15))</f>
        <v>13000</v>
      </c>
      <c r="L67" s="85">
        <f>J67*BondCalculator!$B$7/12</f>
        <v>5128.334879383862</v>
      </c>
      <c r="M67" s="85">
        <f t="shared" si="7"/>
        <v>7871.665120616138</v>
      </c>
      <c r="N67" s="85">
        <f t="shared" si="0"/>
        <v>607528.5204054473</v>
      </c>
      <c r="P67" s="85">
        <f t="shared" si="1"/>
        <v>0</v>
      </c>
      <c r="Q67" s="86">
        <f>-PV(BondCalculator!$B$10/12,B67,0,1,0)</f>
        <v>0.7828107511385496</v>
      </c>
      <c r="S67" s="87">
        <f t="shared" si="2"/>
        <v>0</v>
      </c>
    </row>
    <row r="68" spans="1:19" ht="15" customHeight="1">
      <c r="A68" s="82" t="s">
        <v>101</v>
      </c>
      <c r="B68" s="93">
        <v>65</v>
      </c>
      <c r="C68" s="117">
        <f t="shared" si="8"/>
        <v>607528.5204054473</v>
      </c>
      <c r="D68" s="117">
        <f>IF(G67=0,0,IF(G67&lt;BondCalculator!$B$13,G67+E68,BondCalculator!$B$13))</f>
        <v>13000</v>
      </c>
      <c r="E68" s="117">
        <f>C68*BondCalculator!$B$7/12</f>
        <v>5062.737670045394</v>
      </c>
      <c r="F68" s="117">
        <f t="shared" si="3"/>
        <v>7937.262329954606</v>
      </c>
      <c r="G68" s="117">
        <f t="shared" si="4"/>
        <v>599591.2580754927</v>
      </c>
      <c r="H68" s="94">
        <f t="shared" si="5"/>
        <v>0.5995912580754927</v>
      </c>
      <c r="J68" s="85">
        <f t="shared" si="6"/>
        <v>607528.5204054473</v>
      </c>
      <c r="K68" s="85">
        <f>IF(N67=0,0,IF(N67&lt;BondCalculator!$B$14+BondCalculator!$B$15,N67+L68,BondCalculator!$B$14+BondCalculator!$B$15))</f>
        <v>13000</v>
      </c>
      <c r="L68" s="85">
        <f>J68*BondCalculator!$B$7/12</f>
        <v>5062.737670045394</v>
      </c>
      <c r="M68" s="85">
        <f t="shared" si="7"/>
        <v>7937.262329954606</v>
      </c>
      <c r="N68" s="85">
        <f aca="true" t="shared" si="9" ref="N68:N131">J68-M68</f>
        <v>599591.2580754927</v>
      </c>
      <c r="P68" s="85">
        <f aca="true" t="shared" si="10" ref="P68:P131">E68-L68</f>
        <v>0</v>
      </c>
      <c r="Q68" s="86">
        <f>-PV(BondCalculator!$B$10/12,B68,0,1,0)</f>
        <v>0.779821435635281</v>
      </c>
      <c r="S68" s="87">
        <f aca="true" t="shared" si="11" ref="S68:S131">P68*Q68</f>
        <v>0</v>
      </c>
    </row>
    <row r="69" spans="1:19" ht="15" customHeight="1">
      <c r="A69" s="82" t="s">
        <v>101</v>
      </c>
      <c r="B69" s="93">
        <v>66</v>
      </c>
      <c r="C69" s="117">
        <f t="shared" si="8"/>
        <v>599591.2580754927</v>
      </c>
      <c r="D69" s="117">
        <f>IF(G68=0,0,IF(G68&lt;BondCalculator!$B$13,G68+E69,BondCalculator!$B$13))</f>
        <v>13000</v>
      </c>
      <c r="E69" s="117">
        <f>C69*BondCalculator!$B$7/12</f>
        <v>4996.593817295773</v>
      </c>
      <c r="F69" s="117">
        <f aca="true" t="shared" si="12" ref="F69:F132">D69-E69</f>
        <v>8003.406182704227</v>
      </c>
      <c r="G69" s="117">
        <f aca="true" t="shared" si="13" ref="G69:G132">IF(ROUND(C69-F69,0)=0,0,C69-F69)</f>
        <v>591587.8518927884</v>
      </c>
      <c r="H69" s="94">
        <f aca="true" t="shared" si="14" ref="H69:H132">G69/$C$4</f>
        <v>0.5915878518927884</v>
      </c>
      <c r="J69" s="85">
        <f aca="true" t="shared" si="15" ref="J69:J132">IF(ROUND(N68,0)&gt;0,N68,0)</f>
        <v>599591.2580754927</v>
      </c>
      <c r="K69" s="85">
        <f>IF(N68=0,0,IF(N68&lt;BondCalculator!$B$14+BondCalculator!$B$15,N68+L69,BondCalculator!$B$14+BondCalculator!$B$15))</f>
        <v>13000</v>
      </c>
      <c r="L69" s="85">
        <f>J69*BondCalculator!$B$7/12</f>
        <v>4996.593817295773</v>
      </c>
      <c r="M69" s="85">
        <f aca="true" t="shared" si="16" ref="M69:M132">IF(K69-L69&gt;N68,N68,K69-L69)</f>
        <v>8003.406182704227</v>
      </c>
      <c r="N69" s="85">
        <f t="shared" si="9"/>
        <v>591587.8518927884</v>
      </c>
      <c r="P69" s="85">
        <f t="shared" si="10"/>
        <v>0</v>
      </c>
      <c r="Q69" s="86">
        <f>-PV(BondCalculator!$B$10/12,B69,0,1,0)</f>
        <v>0.7768435354161858</v>
      </c>
      <c r="S69" s="87">
        <f t="shared" si="11"/>
        <v>0</v>
      </c>
    </row>
    <row r="70" spans="1:19" ht="15" customHeight="1">
      <c r="A70" s="82" t="s">
        <v>101</v>
      </c>
      <c r="B70" s="93">
        <v>67</v>
      </c>
      <c r="C70" s="117">
        <f aca="true" t="shared" si="17" ref="C70:C133">IF(ROUND(G69,0)=0,0,G69)</f>
        <v>591587.8518927884</v>
      </c>
      <c r="D70" s="117">
        <f>IF(G69=0,0,IF(G69&lt;BondCalculator!$B$13,G69+E70,BondCalculator!$B$13))</f>
        <v>13000</v>
      </c>
      <c r="E70" s="117">
        <f>C70*BondCalculator!$B$7/12</f>
        <v>4929.898765773237</v>
      </c>
      <c r="F70" s="117">
        <f t="shared" si="12"/>
        <v>8070.101234226763</v>
      </c>
      <c r="G70" s="117">
        <f t="shared" si="13"/>
        <v>583517.7506585617</v>
      </c>
      <c r="H70" s="94">
        <f t="shared" si="14"/>
        <v>0.5835177506585617</v>
      </c>
      <c r="J70" s="85">
        <f t="shared" si="15"/>
        <v>591587.8518927884</v>
      </c>
      <c r="K70" s="85">
        <f>IF(N69=0,0,IF(N69&lt;BondCalculator!$B$14+BondCalculator!$B$15,N69+L70,BondCalculator!$B$14+BondCalculator!$B$15))</f>
        <v>13000</v>
      </c>
      <c r="L70" s="85">
        <f>J70*BondCalculator!$B$7/12</f>
        <v>4929.898765773237</v>
      </c>
      <c r="M70" s="85">
        <f t="shared" si="16"/>
        <v>8070.101234226763</v>
      </c>
      <c r="N70" s="85">
        <f t="shared" si="9"/>
        <v>583517.7506585617</v>
      </c>
      <c r="P70" s="85">
        <f t="shared" si="10"/>
        <v>0</v>
      </c>
      <c r="Q70" s="86">
        <f>-PV(BondCalculator!$B$10/12,B70,0,1,0)</f>
        <v>0.7738770068897749</v>
      </c>
      <c r="S70" s="87">
        <f t="shared" si="11"/>
        <v>0</v>
      </c>
    </row>
    <row r="71" spans="1:19" ht="15" customHeight="1">
      <c r="A71" s="82" t="s">
        <v>101</v>
      </c>
      <c r="B71" s="93">
        <v>68</v>
      </c>
      <c r="C71" s="117">
        <f t="shared" si="17"/>
        <v>583517.7506585617</v>
      </c>
      <c r="D71" s="117">
        <f>IF(G70=0,0,IF(G70&lt;BondCalculator!$B$13,G70+E71,BondCalculator!$B$13))</f>
        <v>13000</v>
      </c>
      <c r="E71" s="117">
        <f>C71*BondCalculator!$B$7/12</f>
        <v>4862.647922154681</v>
      </c>
      <c r="F71" s="117">
        <f t="shared" si="12"/>
        <v>8137.352077845319</v>
      </c>
      <c r="G71" s="117">
        <f t="shared" si="13"/>
        <v>575380.3985807163</v>
      </c>
      <c r="H71" s="94">
        <f t="shared" si="14"/>
        <v>0.5753803985807163</v>
      </c>
      <c r="J71" s="85">
        <f t="shared" si="15"/>
        <v>583517.7506585617</v>
      </c>
      <c r="K71" s="85">
        <f>IF(N70=0,0,IF(N70&lt;BondCalculator!$B$14+BondCalculator!$B$15,N70+L71,BondCalculator!$B$14+BondCalculator!$B$15))</f>
        <v>13000</v>
      </c>
      <c r="L71" s="85">
        <f>J71*BondCalculator!$B$7/12</f>
        <v>4862.647922154681</v>
      </c>
      <c r="M71" s="85">
        <f t="shared" si="16"/>
        <v>8137.352077845319</v>
      </c>
      <c r="N71" s="85">
        <f t="shared" si="9"/>
        <v>575380.3985807163</v>
      </c>
      <c r="P71" s="85">
        <f t="shared" si="10"/>
        <v>0</v>
      </c>
      <c r="Q71" s="86">
        <f>-PV(BondCalculator!$B$10/12,B71,0,1,0)</f>
        <v>0.7709218066310227</v>
      </c>
      <c r="S71" s="87">
        <f t="shared" si="11"/>
        <v>0</v>
      </c>
    </row>
    <row r="72" spans="1:19" ht="15" customHeight="1">
      <c r="A72" s="82" t="s">
        <v>101</v>
      </c>
      <c r="B72" s="93">
        <v>69</v>
      </c>
      <c r="C72" s="117">
        <f t="shared" si="17"/>
        <v>575380.3985807163</v>
      </c>
      <c r="D72" s="117">
        <f>IF(G71=0,0,IF(G71&lt;BondCalculator!$B$13,G71+E72,BondCalculator!$B$13))</f>
        <v>13000</v>
      </c>
      <c r="E72" s="117">
        <f>C72*BondCalculator!$B$7/12</f>
        <v>4794.836654839303</v>
      </c>
      <c r="F72" s="117">
        <f t="shared" si="12"/>
        <v>8205.163345160698</v>
      </c>
      <c r="G72" s="117">
        <f t="shared" si="13"/>
        <v>567175.2352355557</v>
      </c>
      <c r="H72" s="94">
        <f t="shared" si="14"/>
        <v>0.5671752352355557</v>
      </c>
      <c r="J72" s="85">
        <f t="shared" si="15"/>
        <v>575380.3985807163</v>
      </c>
      <c r="K72" s="85">
        <f>IF(N71=0,0,IF(N71&lt;BondCalculator!$B$14+BondCalculator!$B$15,N71+L72,BondCalculator!$B$14+BondCalculator!$B$15))</f>
        <v>13000</v>
      </c>
      <c r="L72" s="85">
        <f>J72*BondCalculator!$B$7/12</f>
        <v>4794.836654839303</v>
      </c>
      <c r="M72" s="85">
        <f t="shared" si="16"/>
        <v>8205.163345160698</v>
      </c>
      <c r="N72" s="85">
        <f t="shared" si="9"/>
        <v>567175.2352355557</v>
      </c>
      <c r="P72" s="85">
        <f t="shared" si="10"/>
        <v>0</v>
      </c>
      <c r="Q72" s="86">
        <f>-PV(BondCalculator!$B$10/12,B72,0,1,0)</f>
        <v>0.7679778913807298</v>
      </c>
      <c r="S72" s="87">
        <f t="shared" si="11"/>
        <v>0</v>
      </c>
    </row>
    <row r="73" spans="1:19" ht="15" customHeight="1">
      <c r="A73" s="82" t="s">
        <v>101</v>
      </c>
      <c r="B73" s="93">
        <v>70</v>
      </c>
      <c r="C73" s="117">
        <f t="shared" si="17"/>
        <v>567175.2352355557</v>
      </c>
      <c r="D73" s="117">
        <f>IF(G72=0,0,IF(G72&lt;BondCalculator!$B$13,G72+E73,BondCalculator!$B$13))</f>
        <v>13000</v>
      </c>
      <c r="E73" s="117">
        <f>C73*BondCalculator!$B$7/12</f>
        <v>4726.460293629631</v>
      </c>
      <c r="F73" s="117">
        <f t="shared" si="12"/>
        <v>8273.539706370368</v>
      </c>
      <c r="G73" s="117">
        <f t="shared" si="13"/>
        <v>558901.6955291854</v>
      </c>
      <c r="H73" s="94">
        <f t="shared" si="14"/>
        <v>0.5589016955291853</v>
      </c>
      <c r="J73" s="85">
        <f t="shared" si="15"/>
        <v>567175.2352355557</v>
      </c>
      <c r="K73" s="85">
        <f>IF(N72=0,0,IF(N72&lt;BondCalculator!$B$14+BondCalculator!$B$15,N72+L73,BondCalculator!$B$14+BondCalculator!$B$15))</f>
        <v>13000</v>
      </c>
      <c r="L73" s="85">
        <f>J73*BondCalculator!$B$7/12</f>
        <v>4726.460293629631</v>
      </c>
      <c r="M73" s="85">
        <f t="shared" si="16"/>
        <v>8273.539706370368</v>
      </c>
      <c r="N73" s="85">
        <f t="shared" si="9"/>
        <v>558901.6955291854</v>
      </c>
      <c r="P73" s="85">
        <f t="shared" si="10"/>
        <v>0</v>
      </c>
      <c r="Q73" s="86">
        <f>-PV(BondCalculator!$B$10/12,B73,0,1,0)</f>
        <v>0.7650452180448911</v>
      </c>
      <c r="S73" s="87">
        <f t="shared" si="11"/>
        <v>0</v>
      </c>
    </row>
    <row r="74" spans="1:19" ht="15" customHeight="1">
      <c r="A74" s="82" t="s">
        <v>101</v>
      </c>
      <c r="B74" s="93">
        <v>71</v>
      </c>
      <c r="C74" s="117">
        <f t="shared" si="17"/>
        <v>558901.6955291854</v>
      </c>
      <c r="D74" s="117">
        <f>IF(G73=0,0,IF(G73&lt;BondCalculator!$B$13,G73+E74,BondCalculator!$B$13))</f>
        <v>13000</v>
      </c>
      <c r="E74" s="117">
        <f>C74*BondCalculator!$B$7/12</f>
        <v>4657.5141294098785</v>
      </c>
      <c r="F74" s="117">
        <f t="shared" si="12"/>
        <v>8342.48587059012</v>
      </c>
      <c r="G74" s="117">
        <f t="shared" si="13"/>
        <v>550559.2096585953</v>
      </c>
      <c r="H74" s="94">
        <f t="shared" si="14"/>
        <v>0.5505592096585953</v>
      </c>
      <c r="J74" s="85">
        <f t="shared" si="15"/>
        <v>558901.6955291854</v>
      </c>
      <c r="K74" s="85">
        <f>IF(N73=0,0,IF(N73&lt;BondCalculator!$B$14+BondCalculator!$B$15,N73+L74,BondCalculator!$B$14+BondCalculator!$B$15))</f>
        <v>13000</v>
      </c>
      <c r="L74" s="85">
        <f>J74*BondCalculator!$B$7/12</f>
        <v>4657.5141294098785</v>
      </c>
      <c r="M74" s="85">
        <f t="shared" si="16"/>
        <v>8342.48587059012</v>
      </c>
      <c r="N74" s="85">
        <f t="shared" si="9"/>
        <v>550559.2096585953</v>
      </c>
      <c r="P74" s="85">
        <f t="shared" si="10"/>
        <v>0</v>
      </c>
      <c r="Q74" s="86">
        <f>-PV(BondCalculator!$B$10/12,B74,0,1,0)</f>
        <v>0.7621237436940639</v>
      </c>
      <c r="S74" s="87">
        <f t="shared" si="11"/>
        <v>0</v>
      </c>
    </row>
    <row r="75" spans="1:19" ht="15" customHeight="1">
      <c r="A75" s="82" t="s">
        <v>101</v>
      </c>
      <c r="B75" s="93">
        <v>72</v>
      </c>
      <c r="C75" s="117">
        <f t="shared" si="17"/>
        <v>550559.2096585953</v>
      </c>
      <c r="D75" s="117">
        <f>IF(G74=0,0,IF(G74&lt;BondCalculator!$B$13,G74+E75,BondCalculator!$B$13))</f>
        <v>13000</v>
      </c>
      <c r="E75" s="117">
        <f>C75*BondCalculator!$B$7/12</f>
        <v>4587.993413821628</v>
      </c>
      <c r="F75" s="117">
        <f t="shared" si="12"/>
        <v>8412.006586178373</v>
      </c>
      <c r="G75" s="117">
        <f t="shared" si="13"/>
        <v>542147.203072417</v>
      </c>
      <c r="H75" s="94">
        <f t="shared" si="14"/>
        <v>0.5421472030724169</v>
      </c>
      <c r="J75" s="85">
        <f t="shared" si="15"/>
        <v>550559.2096585953</v>
      </c>
      <c r="K75" s="85">
        <f>IF(N74=0,0,IF(N74&lt;BondCalculator!$B$14+BondCalculator!$B$15,N74+L75,BondCalculator!$B$14+BondCalculator!$B$15))</f>
        <v>13000</v>
      </c>
      <c r="L75" s="85">
        <f>J75*BondCalculator!$B$7/12</f>
        <v>4587.993413821628</v>
      </c>
      <c r="M75" s="85">
        <f t="shared" si="16"/>
        <v>8412.006586178373</v>
      </c>
      <c r="N75" s="85">
        <f t="shared" si="9"/>
        <v>542147.203072417</v>
      </c>
      <c r="P75" s="85">
        <f t="shared" si="10"/>
        <v>0</v>
      </c>
      <c r="Q75" s="86">
        <f>-PV(BondCalculator!$B$10/12,B75,0,1,0)</f>
        <v>0.7592134255627401</v>
      </c>
      <c r="S75" s="87">
        <f t="shared" si="11"/>
        <v>0</v>
      </c>
    </row>
    <row r="76" spans="1:19" ht="15" customHeight="1">
      <c r="A76" s="82" t="s">
        <v>102</v>
      </c>
      <c r="B76" s="93">
        <v>73</v>
      </c>
      <c r="C76" s="117">
        <f t="shared" si="17"/>
        <v>542147.203072417</v>
      </c>
      <c r="D76" s="117">
        <f>IF(G75=0,0,IF(G75&lt;BondCalculator!$B$13,G75+E76,BondCalculator!$B$13))</f>
        <v>13000</v>
      </c>
      <c r="E76" s="117">
        <f>C76*BondCalculator!$B$7/12</f>
        <v>4517.893358936808</v>
      </c>
      <c r="F76" s="117">
        <f t="shared" si="12"/>
        <v>8482.106641063192</v>
      </c>
      <c r="G76" s="117">
        <f t="shared" si="13"/>
        <v>533665.0964313537</v>
      </c>
      <c r="H76" s="94">
        <f t="shared" si="14"/>
        <v>0.5336650964313537</v>
      </c>
      <c r="J76" s="85">
        <f t="shared" si="15"/>
        <v>542147.203072417</v>
      </c>
      <c r="K76" s="85">
        <f>IF(N75=0,0,IF(N75&lt;BondCalculator!$B$14+BondCalculator!$B$15,N75+L76,BondCalculator!$B$14+BondCalculator!$B$15))</f>
        <v>13000</v>
      </c>
      <c r="L76" s="85">
        <f>J76*BondCalculator!$B$7/12</f>
        <v>4517.893358936808</v>
      </c>
      <c r="M76" s="85">
        <f t="shared" si="16"/>
        <v>8482.106641063192</v>
      </c>
      <c r="N76" s="85">
        <f t="shared" si="9"/>
        <v>533665.0964313537</v>
      </c>
      <c r="P76" s="85">
        <f t="shared" si="10"/>
        <v>0</v>
      </c>
      <c r="Q76" s="86">
        <f>-PV(BondCalculator!$B$10/12,B76,0,1,0)</f>
        <v>0.7563142210487199</v>
      </c>
      <c r="S76" s="87">
        <f t="shared" si="11"/>
        <v>0</v>
      </c>
    </row>
    <row r="77" spans="1:19" ht="15" customHeight="1">
      <c r="A77" s="82" t="s">
        <v>102</v>
      </c>
      <c r="B77" s="93">
        <v>74</v>
      </c>
      <c r="C77" s="117">
        <f t="shared" si="17"/>
        <v>533665.0964313537</v>
      </c>
      <c r="D77" s="117">
        <f>IF(G76=0,0,IF(G76&lt;BondCalculator!$B$13,G76+E77,BondCalculator!$B$13))</f>
        <v>13000</v>
      </c>
      <c r="E77" s="117">
        <f>C77*BondCalculator!$B$7/12</f>
        <v>4447.209136927948</v>
      </c>
      <c r="F77" s="117">
        <f t="shared" si="12"/>
        <v>8552.790863072052</v>
      </c>
      <c r="G77" s="117">
        <f t="shared" si="13"/>
        <v>525112.3055682817</v>
      </c>
      <c r="H77" s="94">
        <f t="shared" si="14"/>
        <v>0.5251123055682817</v>
      </c>
      <c r="J77" s="85">
        <f t="shared" si="15"/>
        <v>533665.0964313537</v>
      </c>
      <c r="K77" s="85">
        <f>IF(N76=0,0,IF(N76&lt;BondCalculator!$B$14+BondCalculator!$B$15,N76+L77,BondCalculator!$B$14+BondCalculator!$B$15))</f>
        <v>13000</v>
      </c>
      <c r="L77" s="85">
        <f>J77*BondCalculator!$B$7/12</f>
        <v>4447.209136927948</v>
      </c>
      <c r="M77" s="85">
        <f t="shared" si="16"/>
        <v>8552.790863072052</v>
      </c>
      <c r="N77" s="85">
        <f t="shared" si="9"/>
        <v>525112.3055682817</v>
      </c>
      <c r="P77" s="85">
        <f t="shared" si="10"/>
        <v>0</v>
      </c>
      <c r="Q77" s="86">
        <f>-PV(BondCalculator!$B$10/12,B77,0,1,0)</f>
        <v>0.7534260877124888</v>
      </c>
      <c r="S77" s="87">
        <f t="shared" si="11"/>
        <v>0</v>
      </c>
    </row>
    <row r="78" spans="1:19" ht="15" customHeight="1">
      <c r="A78" s="82" t="s">
        <v>102</v>
      </c>
      <c r="B78" s="93">
        <v>75</v>
      </c>
      <c r="C78" s="117">
        <f t="shared" si="17"/>
        <v>525112.3055682817</v>
      </c>
      <c r="D78" s="117">
        <f>IF(G77=0,0,IF(G77&lt;BondCalculator!$B$13,G77+E78,BondCalculator!$B$13))</f>
        <v>13000</v>
      </c>
      <c r="E78" s="117">
        <f>C78*BondCalculator!$B$7/12</f>
        <v>4375.935879735681</v>
      </c>
      <c r="F78" s="117">
        <f t="shared" si="12"/>
        <v>8624.06412026432</v>
      </c>
      <c r="G78" s="117">
        <f t="shared" si="13"/>
        <v>516488.24144801736</v>
      </c>
      <c r="H78" s="94">
        <f t="shared" si="14"/>
        <v>0.5164882414480174</v>
      </c>
      <c r="J78" s="85">
        <f t="shared" si="15"/>
        <v>525112.3055682817</v>
      </c>
      <c r="K78" s="85">
        <f>IF(N77=0,0,IF(N77&lt;BondCalculator!$B$14+BondCalculator!$B$15,N77+L78,BondCalculator!$B$14+BondCalculator!$B$15))</f>
        <v>13000</v>
      </c>
      <c r="L78" s="85">
        <f>J78*BondCalculator!$B$7/12</f>
        <v>4375.935879735681</v>
      </c>
      <c r="M78" s="85">
        <f t="shared" si="16"/>
        <v>8624.06412026432</v>
      </c>
      <c r="N78" s="85">
        <f t="shared" si="9"/>
        <v>516488.24144801736</v>
      </c>
      <c r="P78" s="85">
        <f t="shared" si="10"/>
        <v>0</v>
      </c>
      <c r="Q78" s="86">
        <f>-PV(BondCalculator!$B$10/12,B78,0,1,0)</f>
        <v>0.7505489832765951</v>
      </c>
      <c r="S78" s="87">
        <f t="shared" si="11"/>
        <v>0</v>
      </c>
    </row>
    <row r="79" spans="1:19" ht="15" customHeight="1">
      <c r="A79" s="82" t="s">
        <v>102</v>
      </c>
      <c r="B79" s="93">
        <v>76</v>
      </c>
      <c r="C79" s="117">
        <f t="shared" si="17"/>
        <v>516488.24144801736</v>
      </c>
      <c r="D79" s="117">
        <f>IF(G78=0,0,IF(G78&lt;BondCalculator!$B$13,G78+E79,BondCalculator!$B$13))</f>
        <v>13000</v>
      </c>
      <c r="E79" s="117">
        <f>C79*BondCalculator!$B$7/12</f>
        <v>4304.068678733478</v>
      </c>
      <c r="F79" s="117">
        <f t="shared" si="12"/>
        <v>8695.931321266522</v>
      </c>
      <c r="G79" s="117">
        <f t="shared" si="13"/>
        <v>507792.31012675085</v>
      </c>
      <c r="H79" s="94">
        <f t="shared" si="14"/>
        <v>0.5077923101267509</v>
      </c>
      <c r="J79" s="85">
        <f t="shared" si="15"/>
        <v>516488.24144801736</v>
      </c>
      <c r="K79" s="85">
        <f>IF(N78=0,0,IF(N78&lt;BondCalculator!$B$14+BondCalculator!$B$15,N78+L79,BondCalculator!$B$14+BondCalculator!$B$15))</f>
        <v>13000</v>
      </c>
      <c r="L79" s="85">
        <f>J79*BondCalculator!$B$7/12</f>
        <v>4304.068678733478</v>
      </c>
      <c r="M79" s="85">
        <f t="shared" si="16"/>
        <v>8695.931321266522</v>
      </c>
      <c r="N79" s="85">
        <f t="shared" si="9"/>
        <v>507792.31012675085</v>
      </c>
      <c r="P79" s="85">
        <f t="shared" si="10"/>
        <v>0</v>
      </c>
      <c r="Q79" s="86">
        <f>-PV(BondCalculator!$B$10/12,B79,0,1,0)</f>
        <v>0.7476828656250326</v>
      </c>
      <c r="S79" s="87">
        <f t="shared" si="11"/>
        <v>0</v>
      </c>
    </row>
    <row r="80" spans="1:19" ht="15" customHeight="1">
      <c r="A80" s="82" t="s">
        <v>102</v>
      </c>
      <c r="B80" s="93">
        <v>77</v>
      </c>
      <c r="C80" s="117">
        <f t="shared" si="17"/>
        <v>507792.31012675085</v>
      </c>
      <c r="D80" s="117">
        <f>IF(G79=0,0,IF(G79&lt;BondCalculator!$B$13,G79+E80,BondCalculator!$B$13))</f>
        <v>13000</v>
      </c>
      <c r="E80" s="117">
        <f>C80*BondCalculator!$B$7/12</f>
        <v>4231.60258438959</v>
      </c>
      <c r="F80" s="117">
        <f t="shared" si="12"/>
        <v>8768.397415610409</v>
      </c>
      <c r="G80" s="117">
        <f t="shared" si="13"/>
        <v>499023.91271114047</v>
      </c>
      <c r="H80" s="94">
        <f t="shared" si="14"/>
        <v>0.4990239127111405</v>
      </c>
      <c r="J80" s="85">
        <f t="shared" si="15"/>
        <v>507792.31012675085</v>
      </c>
      <c r="K80" s="85">
        <f>IF(N79=0,0,IF(N79&lt;BondCalculator!$B$14+BondCalculator!$B$15,N79+L80,BondCalculator!$B$14+BondCalculator!$B$15))</f>
        <v>13000</v>
      </c>
      <c r="L80" s="85">
        <f>J80*BondCalculator!$B$7/12</f>
        <v>4231.60258438959</v>
      </c>
      <c r="M80" s="85">
        <f t="shared" si="16"/>
        <v>8768.397415610409</v>
      </c>
      <c r="N80" s="85">
        <f t="shared" si="9"/>
        <v>499023.91271114047</v>
      </c>
      <c r="P80" s="85">
        <f t="shared" si="10"/>
        <v>0</v>
      </c>
      <c r="Q80" s="86">
        <f>-PV(BondCalculator!$B$10/12,B80,0,1,0)</f>
        <v>0.7448276928026226</v>
      </c>
      <c r="S80" s="87">
        <f t="shared" si="11"/>
        <v>0</v>
      </c>
    </row>
    <row r="81" spans="1:19" ht="15" customHeight="1">
      <c r="A81" s="82" t="s">
        <v>102</v>
      </c>
      <c r="B81" s="93">
        <v>78</v>
      </c>
      <c r="C81" s="117">
        <f t="shared" si="17"/>
        <v>499023.91271114047</v>
      </c>
      <c r="D81" s="117">
        <f>IF(G80=0,0,IF(G80&lt;BondCalculator!$B$13,G80+E81,BondCalculator!$B$13))</f>
        <v>13000</v>
      </c>
      <c r="E81" s="117">
        <f>C81*BondCalculator!$B$7/12</f>
        <v>4158.532605926171</v>
      </c>
      <c r="F81" s="117">
        <f t="shared" si="12"/>
        <v>8841.467394073828</v>
      </c>
      <c r="G81" s="117">
        <f t="shared" si="13"/>
        <v>490182.4453170666</v>
      </c>
      <c r="H81" s="94">
        <f t="shared" si="14"/>
        <v>0.4901824453170666</v>
      </c>
      <c r="J81" s="85">
        <f t="shared" si="15"/>
        <v>499023.91271114047</v>
      </c>
      <c r="K81" s="85">
        <f>IF(N80=0,0,IF(N80&lt;BondCalculator!$B$14+BondCalculator!$B$15,N80+L81,BondCalculator!$B$14+BondCalculator!$B$15))</f>
        <v>13000</v>
      </c>
      <c r="L81" s="85">
        <f>J81*BondCalculator!$B$7/12</f>
        <v>4158.532605926171</v>
      </c>
      <c r="M81" s="85">
        <f t="shared" si="16"/>
        <v>8841.467394073828</v>
      </c>
      <c r="N81" s="85">
        <f t="shared" si="9"/>
        <v>490182.4453170666</v>
      </c>
      <c r="P81" s="85">
        <f t="shared" si="10"/>
        <v>0</v>
      </c>
      <c r="Q81" s="86">
        <f>-PV(BondCalculator!$B$10/12,B81,0,1,0)</f>
        <v>0.7419834230144007</v>
      </c>
      <c r="S81" s="87">
        <f t="shared" si="11"/>
        <v>0</v>
      </c>
    </row>
    <row r="82" spans="1:19" ht="15" customHeight="1">
      <c r="A82" s="82" t="s">
        <v>102</v>
      </c>
      <c r="B82" s="93">
        <v>79</v>
      </c>
      <c r="C82" s="117">
        <f t="shared" si="17"/>
        <v>490182.4453170666</v>
      </c>
      <c r="D82" s="117">
        <f>IF(G81=0,0,IF(G81&lt;BondCalculator!$B$13,G81+E82,BondCalculator!$B$13))</f>
        <v>13000</v>
      </c>
      <c r="E82" s="117">
        <f>C82*BondCalculator!$B$7/12</f>
        <v>4084.8537109755557</v>
      </c>
      <c r="F82" s="117">
        <f t="shared" si="12"/>
        <v>8915.146289024444</v>
      </c>
      <c r="G82" s="117">
        <f t="shared" si="13"/>
        <v>481267.2990280422</v>
      </c>
      <c r="H82" s="94">
        <f t="shared" si="14"/>
        <v>0.48126729902804216</v>
      </c>
      <c r="J82" s="85">
        <f t="shared" si="15"/>
        <v>490182.4453170666</v>
      </c>
      <c r="K82" s="85">
        <f>IF(N81=0,0,IF(N81&lt;BondCalculator!$B$14+BondCalculator!$B$15,N81+L82,BondCalculator!$B$14+BondCalculator!$B$15))</f>
        <v>13000</v>
      </c>
      <c r="L82" s="85">
        <f>J82*BondCalculator!$B$7/12</f>
        <v>4084.8537109755557</v>
      </c>
      <c r="M82" s="85">
        <f t="shared" si="16"/>
        <v>8915.146289024444</v>
      </c>
      <c r="N82" s="85">
        <f t="shared" si="9"/>
        <v>481267.2990280422</v>
      </c>
      <c r="P82" s="85">
        <f t="shared" si="10"/>
        <v>0</v>
      </c>
      <c r="Q82" s="86">
        <f>-PV(BondCalculator!$B$10/12,B82,0,1,0)</f>
        <v>0.7391500146250048</v>
      </c>
      <c r="S82" s="87">
        <f t="shared" si="11"/>
        <v>0</v>
      </c>
    </row>
    <row r="83" spans="1:19" ht="15" customHeight="1">
      <c r="A83" s="82" t="s">
        <v>102</v>
      </c>
      <c r="B83" s="93">
        <v>80</v>
      </c>
      <c r="C83" s="117">
        <f t="shared" si="17"/>
        <v>481267.2990280422</v>
      </c>
      <c r="D83" s="117">
        <f>IF(G82=0,0,IF(G82&lt;BondCalculator!$B$13,G82+E83,BondCalculator!$B$13))</f>
        <v>13000</v>
      </c>
      <c r="E83" s="117">
        <f>C83*BondCalculator!$B$7/12</f>
        <v>4010.5608252336847</v>
      </c>
      <c r="F83" s="117">
        <f t="shared" si="12"/>
        <v>8989.439174766316</v>
      </c>
      <c r="G83" s="117">
        <f t="shared" si="13"/>
        <v>472277.8598532759</v>
      </c>
      <c r="H83" s="94">
        <f t="shared" si="14"/>
        <v>0.47227785985327586</v>
      </c>
      <c r="J83" s="85">
        <f t="shared" si="15"/>
        <v>481267.2990280422</v>
      </c>
      <c r="K83" s="85">
        <f>IF(N82=0,0,IF(N82&lt;BondCalculator!$B$14+BondCalculator!$B$15,N82+L83,BondCalculator!$B$14+BondCalculator!$B$15))</f>
        <v>13000</v>
      </c>
      <c r="L83" s="85">
        <f>J83*BondCalculator!$B$7/12</f>
        <v>4010.5608252336847</v>
      </c>
      <c r="M83" s="85">
        <f t="shared" si="16"/>
        <v>8989.439174766316</v>
      </c>
      <c r="N83" s="85">
        <f t="shared" si="9"/>
        <v>472277.8598532759</v>
      </c>
      <c r="P83" s="85">
        <f t="shared" si="10"/>
        <v>0</v>
      </c>
      <c r="Q83" s="86">
        <f>-PV(BondCalculator!$B$10/12,B83,0,1,0)</f>
        <v>0.7363274261580657</v>
      </c>
      <c r="S83" s="87">
        <f t="shared" si="11"/>
        <v>0</v>
      </c>
    </row>
    <row r="84" spans="1:19" ht="15" customHeight="1">
      <c r="A84" s="82" t="s">
        <v>102</v>
      </c>
      <c r="B84" s="93">
        <v>81</v>
      </c>
      <c r="C84" s="117">
        <f t="shared" si="17"/>
        <v>472277.8598532759</v>
      </c>
      <c r="D84" s="117">
        <f>IF(G83=0,0,IF(G83&lt;BondCalculator!$B$13,G83+E84,BondCalculator!$B$13))</f>
        <v>13000</v>
      </c>
      <c r="E84" s="117">
        <f>C84*BondCalculator!$B$7/12</f>
        <v>3935.648832110632</v>
      </c>
      <c r="F84" s="117">
        <f t="shared" si="12"/>
        <v>9064.351167889368</v>
      </c>
      <c r="G84" s="117">
        <f t="shared" si="13"/>
        <v>463213.5086853865</v>
      </c>
      <c r="H84" s="94">
        <f t="shared" si="14"/>
        <v>0.4632135086853865</v>
      </c>
      <c r="J84" s="85">
        <f t="shared" si="15"/>
        <v>472277.8598532759</v>
      </c>
      <c r="K84" s="85">
        <f>IF(N83=0,0,IF(N83&lt;BondCalculator!$B$14+BondCalculator!$B$15,N83+L84,BondCalculator!$B$14+BondCalculator!$B$15))</f>
        <v>13000</v>
      </c>
      <c r="L84" s="85">
        <f>J84*BondCalculator!$B$7/12</f>
        <v>3935.648832110632</v>
      </c>
      <c r="M84" s="85">
        <f t="shared" si="16"/>
        <v>9064.351167889368</v>
      </c>
      <c r="N84" s="85">
        <f t="shared" si="9"/>
        <v>463213.5086853865</v>
      </c>
      <c r="P84" s="85">
        <f t="shared" si="10"/>
        <v>0</v>
      </c>
      <c r="Q84" s="86">
        <f>-PV(BondCalculator!$B$10/12,B84,0,1,0)</f>
        <v>0.7335156162955991</v>
      </c>
      <c r="S84" s="87">
        <f t="shared" si="11"/>
        <v>0</v>
      </c>
    </row>
    <row r="85" spans="1:19" ht="15" customHeight="1">
      <c r="A85" s="82" t="s">
        <v>102</v>
      </c>
      <c r="B85" s="93">
        <v>82</v>
      </c>
      <c r="C85" s="117">
        <f t="shared" si="17"/>
        <v>463213.5086853865</v>
      </c>
      <c r="D85" s="117">
        <f>IF(G84=0,0,IF(G84&lt;BondCalculator!$B$13,G84+E85,BondCalculator!$B$13))</f>
        <v>13000</v>
      </c>
      <c r="E85" s="117">
        <f>C85*BondCalculator!$B$7/12</f>
        <v>3860.112572378221</v>
      </c>
      <c r="F85" s="117">
        <f t="shared" si="12"/>
        <v>9139.88742762178</v>
      </c>
      <c r="G85" s="117">
        <f t="shared" si="13"/>
        <v>454073.62125776475</v>
      </c>
      <c r="H85" s="94">
        <f t="shared" si="14"/>
        <v>0.45407362125776474</v>
      </c>
      <c r="J85" s="85">
        <f t="shared" si="15"/>
        <v>463213.5086853865</v>
      </c>
      <c r="K85" s="85">
        <f>IF(N84=0,0,IF(N84&lt;BondCalculator!$B$14+BondCalculator!$B$15,N84+L85,BondCalculator!$B$14+BondCalculator!$B$15))</f>
        <v>13000</v>
      </c>
      <c r="L85" s="85">
        <f>J85*BondCalculator!$B$7/12</f>
        <v>3860.112572378221</v>
      </c>
      <c r="M85" s="85">
        <f t="shared" si="16"/>
        <v>9139.88742762178</v>
      </c>
      <c r="N85" s="85">
        <f t="shared" si="9"/>
        <v>454073.62125776475</v>
      </c>
      <c r="P85" s="85">
        <f t="shared" si="10"/>
        <v>0</v>
      </c>
      <c r="Q85" s="86">
        <f>-PV(BondCalculator!$B$10/12,B85,0,1,0)</f>
        <v>0.7307145438774025</v>
      </c>
      <c r="S85" s="87">
        <f t="shared" si="11"/>
        <v>0</v>
      </c>
    </row>
    <row r="86" spans="1:19" ht="15" customHeight="1">
      <c r="A86" s="82" t="s">
        <v>102</v>
      </c>
      <c r="B86" s="93">
        <v>83</v>
      </c>
      <c r="C86" s="117">
        <f t="shared" si="17"/>
        <v>454073.62125776475</v>
      </c>
      <c r="D86" s="117">
        <f>IF(G85=0,0,IF(G85&lt;BondCalculator!$B$13,G85+E86,BondCalculator!$B$13))</f>
        <v>13000</v>
      </c>
      <c r="E86" s="117">
        <f>C86*BondCalculator!$B$7/12</f>
        <v>3783.9468438147064</v>
      </c>
      <c r="F86" s="117">
        <f t="shared" si="12"/>
        <v>9216.053156185293</v>
      </c>
      <c r="G86" s="117">
        <f t="shared" si="13"/>
        <v>444857.56810157944</v>
      </c>
      <c r="H86" s="94">
        <f t="shared" si="14"/>
        <v>0.44485756810157945</v>
      </c>
      <c r="J86" s="85">
        <f t="shared" si="15"/>
        <v>454073.62125776475</v>
      </c>
      <c r="K86" s="85">
        <f>IF(N85=0,0,IF(N85&lt;BondCalculator!$B$14+BondCalculator!$B$15,N85+L86,BondCalculator!$B$14+BondCalculator!$B$15))</f>
        <v>13000</v>
      </c>
      <c r="L86" s="85">
        <f>J86*BondCalculator!$B$7/12</f>
        <v>3783.9468438147064</v>
      </c>
      <c r="M86" s="85">
        <f t="shared" si="16"/>
        <v>9216.053156185293</v>
      </c>
      <c r="N86" s="85">
        <f t="shared" si="9"/>
        <v>444857.56810157944</v>
      </c>
      <c r="P86" s="85">
        <f t="shared" si="10"/>
        <v>0</v>
      </c>
      <c r="Q86" s="86">
        <f>-PV(BondCalculator!$B$10/12,B86,0,1,0)</f>
        <v>0.7279241679004508</v>
      </c>
      <c r="S86" s="87">
        <f t="shared" si="11"/>
        <v>0</v>
      </c>
    </row>
    <row r="87" spans="1:19" ht="15" customHeight="1">
      <c r="A87" s="82" t="s">
        <v>102</v>
      </c>
      <c r="B87" s="93">
        <v>84</v>
      </c>
      <c r="C87" s="117">
        <f t="shared" si="17"/>
        <v>444857.56810157944</v>
      </c>
      <c r="D87" s="117">
        <f>IF(G86=0,0,IF(G86&lt;BondCalculator!$B$13,G86+E87,BondCalculator!$B$13))</f>
        <v>13000</v>
      </c>
      <c r="E87" s="117">
        <f>C87*BondCalculator!$B$7/12</f>
        <v>3707.1464008464955</v>
      </c>
      <c r="F87" s="117">
        <f t="shared" si="12"/>
        <v>9292.853599153505</v>
      </c>
      <c r="G87" s="117">
        <f t="shared" si="13"/>
        <v>435564.7145024259</v>
      </c>
      <c r="H87" s="94">
        <f t="shared" si="14"/>
        <v>0.4355647145024259</v>
      </c>
      <c r="J87" s="85">
        <f t="shared" si="15"/>
        <v>444857.56810157944</v>
      </c>
      <c r="K87" s="85">
        <f>IF(N86=0,0,IF(N86&lt;BondCalculator!$B$14+BondCalculator!$B$15,N86+L87,BondCalculator!$B$14+BondCalculator!$B$15))</f>
        <v>13000</v>
      </c>
      <c r="L87" s="85">
        <f>J87*BondCalculator!$B$7/12</f>
        <v>3707.1464008464955</v>
      </c>
      <c r="M87" s="85">
        <f t="shared" si="16"/>
        <v>9292.853599153505</v>
      </c>
      <c r="N87" s="85">
        <f t="shared" si="9"/>
        <v>435564.7145024259</v>
      </c>
      <c r="P87" s="85">
        <f t="shared" si="10"/>
        <v>0</v>
      </c>
      <c r="Q87" s="86">
        <f>-PV(BondCalculator!$B$10/12,B87,0,1,0)</f>
        <v>0.7251444475182974</v>
      </c>
      <c r="S87" s="87">
        <f t="shared" si="11"/>
        <v>0</v>
      </c>
    </row>
    <row r="88" spans="1:19" ht="15" customHeight="1">
      <c r="A88" s="82" t="s">
        <v>103</v>
      </c>
      <c r="B88" s="93">
        <v>85</v>
      </c>
      <c r="C88" s="117">
        <f t="shared" si="17"/>
        <v>435564.7145024259</v>
      </c>
      <c r="D88" s="117">
        <f>IF(G87=0,0,IF(G87&lt;BondCalculator!$B$13,G87+E88,BondCalculator!$B$13))</f>
        <v>13000</v>
      </c>
      <c r="E88" s="117">
        <f>C88*BondCalculator!$B$7/12</f>
        <v>3629.7059541868825</v>
      </c>
      <c r="F88" s="117">
        <f t="shared" si="12"/>
        <v>9370.294045813118</v>
      </c>
      <c r="G88" s="117">
        <f t="shared" si="13"/>
        <v>426194.42045661283</v>
      </c>
      <c r="H88" s="94">
        <f t="shared" si="14"/>
        <v>0.4261944204566128</v>
      </c>
      <c r="J88" s="85">
        <f t="shared" si="15"/>
        <v>435564.7145024259</v>
      </c>
      <c r="K88" s="85">
        <f>IF(N87=0,0,IF(N87&lt;BondCalculator!$B$14+BondCalculator!$B$15,N87+L88,BondCalculator!$B$14+BondCalculator!$B$15))</f>
        <v>13000</v>
      </c>
      <c r="L88" s="85">
        <f>J88*BondCalculator!$B$7/12</f>
        <v>3629.7059541868825</v>
      </c>
      <c r="M88" s="85">
        <f t="shared" si="16"/>
        <v>9370.294045813118</v>
      </c>
      <c r="N88" s="85">
        <f t="shared" si="9"/>
        <v>426194.42045661283</v>
      </c>
      <c r="P88" s="85">
        <f t="shared" si="10"/>
        <v>0</v>
      </c>
      <c r="Q88" s="86">
        <f>-PV(BondCalculator!$B$10/12,B88,0,1,0)</f>
        <v>0.7223753420404755</v>
      </c>
      <c r="S88" s="87">
        <f t="shared" si="11"/>
        <v>0</v>
      </c>
    </row>
    <row r="89" spans="1:19" ht="15" customHeight="1">
      <c r="A89" s="82" t="s">
        <v>103</v>
      </c>
      <c r="B89" s="93">
        <v>86</v>
      </c>
      <c r="C89" s="117">
        <f t="shared" si="17"/>
        <v>426194.42045661283</v>
      </c>
      <c r="D89" s="117">
        <f>IF(G88=0,0,IF(G88&lt;BondCalculator!$B$13,G88+E89,BondCalculator!$B$13))</f>
        <v>13000</v>
      </c>
      <c r="E89" s="117">
        <f>C89*BondCalculator!$B$7/12</f>
        <v>3551.6201704717737</v>
      </c>
      <c r="F89" s="117">
        <f t="shared" si="12"/>
        <v>9448.379829528227</v>
      </c>
      <c r="G89" s="117">
        <f t="shared" si="13"/>
        <v>416746.0406270846</v>
      </c>
      <c r="H89" s="94">
        <f t="shared" si="14"/>
        <v>0.4167460406270846</v>
      </c>
      <c r="J89" s="85">
        <f t="shared" si="15"/>
        <v>426194.42045661283</v>
      </c>
      <c r="K89" s="85">
        <f>IF(N88=0,0,IF(N88&lt;BondCalculator!$B$14+BondCalculator!$B$15,N88+L89,BondCalculator!$B$14+BondCalculator!$B$15))</f>
        <v>13000</v>
      </c>
      <c r="L89" s="85">
        <f>J89*BondCalculator!$B$7/12</f>
        <v>3551.6201704717737</v>
      </c>
      <c r="M89" s="85">
        <f t="shared" si="16"/>
        <v>9448.379829528227</v>
      </c>
      <c r="N89" s="85">
        <f t="shared" si="9"/>
        <v>416746.0406270846</v>
      </c>
      <c r="P89" s="85">
        <f t="shared" si="10"/>
        <v>0</v>
      </c>
      <c r="Q89" s="86">
        <f>-PV(BondCalculator!$B$10/12,B89,0,1,0)</f>
        <v>0.7196168109319032</v>
      </c>
      <c r="S89" s="87">
        <f t="shared" si="11"/>
        <v>0</v>
      </c>
    </row>
    <row r="90" spans="1:19" ht="15" customHeight="1">
      <c r="A90" s="82" t="s">
        <v>103</v>
      </c>
      <c r="B90" s="93">
        <v>87</v>
      </c>
      <c r="C90" s="117">
        <f t="shared" si="17"/>
        <v>416746.0406270846</v>
      </c>
      <c r="D90" s="117">
        <f>IF(G89=0,0,IF(G89&lt;BondCalculator!$B$13,G89+E90,BondCalculator!$B$13))</f>
        <v>13000</v>
      </c>
      <c r="E90" s="117">
        <f>C90*BondCalculator!$B$7/12</f>
        <v>3472.883671892372</v>
      </c>
      <c r="F90" s="117">
        <f t="shared" si="12"/>
        <v>9527.116328107628</v>
      </c>
      <c r="G90" s="117">
        <f t="shared" si="13"/>
        <v>407218.924298977</v>
      </c>
      <c r="H90" s="94">
        <f t="shared" si="14"/>
        <v>0.407218924298977</v>
      </c>
      <c r="J90" s="85">
        <f t="shared" si="15"/>
        <v>416746.0406270846</v>
      </c>
      <c r="K90" s="85">
        <f>IF(N89=0,0,IF(N89&lt;BondCalculator!$B$14+BondCalculator!$B$15,N89+L90,BondCalculator!$B$14+BondCalculator!$B$15))</f>
        <v>13000</v>
      </c>
      <c r="L90" s="85">
        <f>J90*BondCalculator!$B$7/12</f>
        <v>3472.883671892372</v>
      </c>
      <c r="M90" s="85">
        <f t="shared" si="16"/>
        <v>9527.116328107628</v>
      </c>
      <c r="N90" s="85">
        <f t="shared" si="9"/>
        <v>407218.924298977</v>
      </c>
      <c r="P90" s="85">
        <f t="shared" si="10"/>
        <v>0</v>
      </c>
      <c r="Q90" s="86">
        <f>-PV(BondCalculator!$B$10/12,B90,0,1,0)</f>
        <v>0.7168688138122896</v>
      </c>
      <c r="S90" s="87">
        <f t="shared" si="11"/>
        <v>0</v>
      </c>
    </row>
    <row r="91" spans="1:19" ht="15" customHeight="1">
      <c r="A91" s="82" t="s">
        <v>103</v>
      </c>
      <c r="B91" s="93">
        <v>88</v>
      </c>
      <c r="C91" s="117">
        <f t="shared" si="17"/>
        <v>407218.924298977</v>
      </c>
      <c r="D91" s="117">
        <f>IF(G90=0,0,IF(G90&lt;BondCalculator!$B$13,G90+E91,BondCalculator!$B$13))</f>
        <v>13000</v>
      </c>
      <c r="E91" s="117">
        <f>C91*BondCalculator!$B$7/12</f>
        <v>3393.491035824809</v>
      </c>
      <c r="F91" s="117">
        <f t="shared" si="12"/>
        <v>9606.508964175191</v>
      </c>
      <c r="G91" s="117">
        <f t="shared" si="13"/>
        <v>397612.41533480183</v>
      </c>
      <c r="H91" s="94">
        <f t="shared" si="14"/>
        <v>0.39761241533480185</v>
      </c>
      <c r="J91" s="85">
        <f t="shared" si="15"/>
        <v>407218.924298977</v>
      </c>
      <c r="K91" s="85">
        <f>IF(N90=0,0,IF(N90&lt;BondCalculator!$B$14+BondCalculator!$B$15,N90+L91,BondCalculator!$B$14+BondCalculator!$B$15))</f>
        <v>13000</v>
      </c>
      <c r="L91" s="85">
        <f>J91*BondCalculator!$B$7/12</f>
        <v>3393.491035824809</v>
      </c>
      <c r="M91" s="85">
        <f t="shared" si="16"/>
        <v>9606.508964175191</v>
      </c>
      <c r="N91" s="85">
        <f t="shared" si="9"/>
        <v>397612.41533480183</v>
      </c>
      <c r="P91" s="85">
        <f t="shared" si="10"/>
        <v>0</v>
      </c>
      <c r="Q91" s="86">
        <f>-PV(BondCalculator!$B$10/12,B91,0,1,0)</f>
        <v>0.7141313104555432</v>
      </c>
      <c r="S91" s="87">
        <f t="shared" si="11"/>
        <v>0</v>
      </c>
    </row>
    <row r="92" spans="1:19" ht="15" customHeight="1">
      <c r="A92" s="82" t="s">
        <v>103</v>
      </c>
      <c r="B92" s="93">
        <v>89</v>
      </c>
      <c r="C92" s="117">
        <f t="shared" si="17"/>
        <v>397612.41533480183</v>
      </c>
      <c r="D92" s="117">
        <f>IF(G91=0,0,IF(G91&lt;BondCalculator!$B$13,G91+E92,BondCalculator!$B$13))</f>
        <v>13000</v>
      </c>
      <c r="E92" s="117">
        <f>C92*BondCalculator!$B$7/12</f>
        <v>3313.436794456682</v>
      </c>
      <c r="F92" s="117">
        <f t="shared" si="12"/>
        <v>9686.563205543318</v>
      </c>
      <c r="G92" s="117">
        <f t="shared" si="13"/>
        <v>387925.8521292585</v>
      </c>
      <c r="H92" s="94">
        <f t="shared" si="14"/>
        <v>0.3879258521292585</v>
      </c>
      <c r="J92" s="85">
        <f t="shared" si="15"/>
        <v>397612.41533480183</v>
      </c>
      <c r="K92" s="85">
        <f>IF(N91=0,0,IF(N91&lt;BondCalculator!$B$14+BondCalculator!$B$15,N91+L92,BondCalculator!$B$14+BondCalculator!$B$15))</f>
        <v>13000</v>
      </c>
      <c r="L92" s="85">
        <f>J92*BondCalculator!$B$7/12</f>
        <v>3313.436794456682</v>
      </c>
      <c r="M92" s="85">
        <f t="shared" si="16"/>
        <v>9686.563205543318</v>
      </c>
      <c r="N92" s="85">
        <f t="shared" si="9"/>
        <v>387925.8521292585</v>
      </c>
      <c r="P92" s="85">
        <f t="shared" si="10"/>
        <v>0</v>
      </c>
      <c r="Q92" s="86">
        <f>-PV(BondCalculator!$B$10/12,B92,0,1,0)</f>
        <v>0.7114042607891847</v>
      </c>
      <c r="S92" s="87">
        <f t="shared" si="11"/>
        <v>0</v>
      </c>
    </row>
    <row r="93" spans="1:19" ht="15" customHeight="1">
      <c r="A93" s="82" t="s">
        <v>103</v>
      </c>
      <c r="B93" s="93">
        <v>90</v>
      </c>
      <c r="C93" s="117">
        <f t="shared" si="17"/>
        <v>387925.8521292585</v>
      </c>
      <c r="D93" s="117">
        <f>IF(G92=0,0,IF(G92&lt;BondCalculator!$B$13,G92+E93,BondCalculator!$B$13))</f>
        <v>13000</v>
      </c>
      <c r="E93" s="117">
        <f>C93*BondCalculator!$B$7/12</f>
        <v>3232.7154344104874</v>
      </c>
      <c r="F93" s="117">
        <f t="shared" si="12"/>
        <v>9767.284565589513</v>
      </c>
      <c r="G93" s="117">
        <f t="shared" si="13"/>
        <v>378158.567563669</v>
      </c>
      <c r="H93" s="94">
        <f t="shared" si="14"/>
        <v>0.378158567563669</v>
      </c>
      <c r="J93" s="85">
        <f t="shared" si="15"/>
        <v>387925.8521292585</v>
      </c>
      <c r="K93" s="85">
        <f>IF(N92=0,0,IF(N92&lt;BondCalculator!$B$14+BondCalculator!$B$15,N92+L93,BondCalculator!$B$14+BondCalculator!$B$15))</f>
        <v>13000</v>
      </c>
      <c r="L93" s="85">
        <f>J93*BondCalculator!$B$7/12</f>
        <v>3232.7154344104874</v>
      </c>
      <c r="M93" s="85">
        <f t="shared" si="16"/>
        <v>9767.284565589513</v>
      </c>
      <c r="N93" s="85">
        <f t="shared" si="9"/>
        <v>378158.567563669</v>
      </c>
      <c r="P93" s="85">
        <f t="shared" si="10"/>
        <v>0</v>
      </c>
      <c r="Q93" s="86">
        <f>-PV(BondCalculator!$B$10/12,B93,0,1,0)</f>
        <v>0.7086876248937586</v>
      </c>
      <c r="S93" s="87">
        <f t="shared" si="11"/>
        <v>0</v>
      </c>
    </row>
    <row r="94" spans="1:19" ht="15" customHeight="1">
      <c r="A94" s="82" t="s">
        <v>103</v>
      </c>
      <c r="B94" s="93">
        <v>91</v>
      </c>
      <c r="C94" s="117">
        <f t="shared" si="17"/>
        <v>378158.567563669</v>
      </c>
      <c r="D94" s="117">
        <f>IF(G93=0,0,IF(G93&lt;BondCalculator!$B$13,G93+E94,BondCalculator!$B$13))</f>
        <v>13000</v>
      </c>
      <c r="E94" s="117">
        <f>C94*BondCalculator!$B$7/12</f>
        <v>3151.321396363908</v>
      </c>
      <c r="F94" s="117">
        <f t="shared" si="12"/>
        <v>9848.678603636092</v>
      </c>
      <c r="G94" s="117">
        <f t="shared" si="13"/>
        <v>368309.8889600329</v>
      </c>
      <c r="H94" s="94">
        <f t="shared" si="14"/>
        <v>0.3683098889600329</v>
      </c>
      <c r="J94" s="85">
        <f t="shared" si="15"/>
        <v>378158.567563669</v>
      </c>
      <c r="K94" s="85">
        <f>IF(N93=0,0,IF(N93&lt;BondCalculator!$B$14+BondCalculator!$B$15,N93+L94,BondCalculator!$B$14+BondCalculator!$B$15))</f>
        <v>13000</v>
      </c>
      <c r="L94" s="85">
        <f>J94*BondCalculator!$B$7/12</f>
        <v>3151.321396363908</v>
      </c>
      <c r="M94" s="85">
        <f t="shared" si="16"/>
        <v>9848.678603636092</v>
      </c>
      <c r="N94" s="85">
        <f t="shared" si="9"/>
        <v>368309.8889600329</v>
      </c>
      <c r="P94" s="85">
        <f t="shared" si="10"/>
        <v>0</v>
      </c>
      <c r="Q94" s="86">
        <f>-PV(BondCalculator!$B$10/12,B94,0,1,0)</f>
        <v>0.7059813630022501</v>
      </c>
      <c r="S94" s="87">
        <f t="shared" si="11"/>
        <v>0</v>
      </c>
    </row>
    <row r="95" spans="1:19" ht="15" customHeight="1">
      <c r="A95" s="82" t="s">
        <v>103</v>
      </c>
      <c r="B95" s="93">
        <v>92</v>
      </c>
      <c r="C95" s="117">
        <f t="shared" si="17"/>
        <v>368309.8889600329</v>
      </c>
      <c r="D95" s="117">
        <f>IF(G94=0,0,IF(G94&lt;BondCalculator!$B$13,G94+E95,BondCalculator!$B$13))</f>
        <v>13000</v>
      </c>
      <c r="E95" s="117">
        <f>C95*BondCalculator!$B$7/12</f>
        <v>3069.249074666941</v>
      </c>
      <c r="F95" s="117">
        <f t="shared" si="12"/>
        <v>9930.750925333059</v>
      </c>
      <c r="G95" s="117">
        <f t="shared" si="13"/>
        <v>358379.13803469983</v>
      </c>
      <c r="H95" s="94">
        <f t="shared" si="14"/>
        <v>0.35837913803469984</v>
      </c>
      <c r="J95" s="85">
        <f t="shared" si="15"/>
        <v>368309.8889600329</v>
      </c>
      <c r="K95" s="85">
        <f>IF(N94=0,0,IF(N94&lt;BondCalculator!$B$14+BondCalculator!$B$15,N94+L95,BondCalculator!$B$14+BondCalculator!$B$15))</f>
        <v>13000</v>
      </c>
      <c r="L95" s="85">
        <f>J95*BondCalculator!$B$7/12</f>
        <v>3069.249074666941</v>
      </c>
      <c r="M95" s="85">
        <f t="shared" si="16"/>
        <v>9930.750925333059</v>
      </c>
      <c r="N95" s="85">
        <f t="shared" si="9"/>
        <v>358379.13803469983</v>
      </c>
      <c r="P95" s="85">
        <f t="shared" si="10"/>
        <v>0</v>
      </c>
      <c r="Q95" s="86">
        <f>-PV(BondCalculator!$B$10/12,B95,0,1,0)</f>
        <v>0.7032854354995021</v>
      </c>
      <c r="S95" s="87">
        <f t="shared" si="11"/>
        <v>0</v>
      </c>
    </row>
    <row r="96" spans="1:19" ht="15" customHeight="1">
      <c r="A96" s="82" t="s">
        <v>103</v>
      </c>
      <c r="B96" s="93">
        <v>93</v>
      </c>
      <c r="C96" s="117">
        <f t="shared" si="17"/>
        <v>358379.13803469983</v>
      </c>
      <c r="D96" s="117">
        <f>IF(G95=0,0,IF(G95&lt;BondCalculator!$B$13,G95+E96,BondCalculator!$B$13))</f>
        <v>13000</v>
      </c>
      <c r="E96" s="117">
        <f>C96*BondCalculator!$B$7/12</f>
        <v>2986.492816955832</v>
      </c>
      <c r="F96" s="117">
        <f t="shared" si="12"/>
        <v>10013.507183044168</v>
      </c>
      <c r="G96" s="117">
        <f t="shared" si="13"/>
        <v>348365.6308516557</v>
      </c>
      <c r="H96" s="94">
        <f t="shared" si="14"/>
        <v>0.34836563085165567</v>
      </c>
      <c r="J96" s="85">
        <f t="shared" si="15"/>
        <v>358379.13803469983</v>
      </c>
      <c r="K96" s="85">
        <f>IF(N95=0,0,IF(N95&lt;BondCalculator!$B$14+BondCalculator!$B$15,N95+L96,BondCalculator!$B$14+BondCalculator!$B$15))</f>
        <v>13000</v>
      </c>
      <c r="L96" s="85">
        <f>J96*BondCalculator!$B$7/12</f>
        <v>2986.492816955832</v>
      </c>
      <c r="M96" s="85">
        <f t="shared" si="16"/>
        <v>10013.507183044168</v>
      </c>
      <c r="N96" s="85">
        <f t="shared" si="9"/>
        <v>348365.6308516557</v>
      </c>
      <c r="P96" s="85">
        <f t="shared" si="10"/>
        <v>0</v>
      </c>
      <c r="Q96" s="86">
        <f>-PV(BondCalculator!$B$10/12,B96,0,1,0)</f>
        <v>0.7005998029216357</v>
      </c>
      <c r="S96" s="87">
        <f t="shared" si="11"/>
        <v>0</v>
      </c>
    </row>
    <row r="97" spans="1:19" ht="15" customHeight="1">
      <c r="A97" s="82" t="s">
        <v>103</v>
      </c>
      <c r="B97" s="93">
        <v>94</v>
      </c>
      <c r="C97" s="117">
        <f t="shared" si="17"/>
        <v>348365.6308516557</v>
      </c>
      <c r="D97" s="117">
        <f>IF(G96=0,0,IF(G96&lt;BondCalculator!$B$13,G96+E97,BondCalculator!$B$13))</f>
        <v>13000</v>
      </c>
      <c r="E97" s="117">
        <f>C97*BondCalculator!$B$7/12</f>
        <v>2903.046923763797</v>
      </c>
      <c r="F97" s="117">
        <f t="shared" si="12"/>
        <v>10096.953076236203</v>
      </c>
      <c r="G97" s="117">
        <f t="shared" si="13"/>
        <v>338268.6777754195</v>
      </c>
      <c r="H97" s="94">
        <f t="shared" si="14"/>
        <v>0.33826867777541947</v>
      </c>
      <c r="J97" s="85">
        <f t="shared" si="15"/>
        <v>348365.6308516557</v>
      </c>
      <c r="K97" s="85">
        <f>IF(N96=0,0,IF(N96&lt;BondCalculator!$B$14+BondCalculator!$B$15,N96+L97,BondCalculator!$B$14+BondCalculator!$B$15))</f>
        <v>13000</v>
      </c>
      <c r="L97" s="85">
        <f>J97*BondCalculator!$B$7/12</f>
        <v>2903.046923763797</v>
      </c>
      <c r="M97" s="85">
        <f t="shared" si="16"/>
        <v>10096.953076236203</v>
      </c>
      <c r="N97" s="85">
        <f t="shared" si="9"/>
        <v>338268.6777754195</v>
      </c>
      <c r="P97" s="85">
        <f t="shared" si="10"/>
        <v>0</v>
      </c>
      <c r="Q97" s="86">
        <f>-PV(BondCalculator!$B$10/12,B97,0,1,0)</f>
        <v>0.697924425955473</v>
      </c>
      <c r="S97" s="87">
        <f t="shared" si="11"/>
        <v>0</v>
      </c>
    </row>
    <row r="98" spans="1:19" ht="15" customHeight="1">
      <c r="A98" s="82" t="s">
        <v>103</v>
      </c>
      <c r="B98" s="93">
        <v>95</v>
      </c>
      <c r="C98" s="117">
        <f t="shared" si="17"/>
        <v>338268.6777754195</v>
      </c>
      <c r="D98" s="117">
        <f>IF(G97=0,0,IF(G97&lt;BondCalculator!$B$13,G97+E98,BondCalculator!$B$13))</f>
        <v>13000</v>
      </c>
      <c r="E98" s="117">
        <f>C98*BondCalculator!$B$7/12</f>
        <v>2818.9056481284956</v>
      </c>
      <c r="F98" s="117">
        <f t="shared" si="12"/>
        <v>10181.094351871505</v>
      </c>
      <c r="G98" s="117">
        <f t="shared" si="13"/>
        <v>328087.58342354797</v>
      </c>
      <c r="H98" s="94">
        <f t="shared" si="14"/>
        <v>0.328087583423548</v>
      </c>
      <c r="J98" s="85">
        <f t="shared" si="15"/>
        <v>338268.6777754195</v>
      </c>
      <c r="K98" s="85">
        <f>IF(N97=0,0,IF(N97&lt;BondCalculator!$B$14+BondCalculator!$B$15,N97+L98,BondCalculator!$B$14+BondCalculator!$B$15))</f>
        <v>13000</v>
      </c>
      <c r="L98" s="85">
        <f>J98*BondCalculator!$B$7/12</f>
        <v>2818.9056481284956</v>
      </c>
      <c r="M98" s="85">
        <f t="shared" si="16"/>
        <v>10181.094351871505</v>
      </c>
      <c r="N98" s="85">
        <f t="shared" si="9"/>
        <v>328087.58342354797</v>
      </c>
      <c r="P98" s="85">
        <f t="shared" si="10"/>
        <v>0</v>
      </c>
      <c r="Q98" s="86">
        <f>-PV(BondCalculator!$B$10/12,B98,0,1,0)</f>
        <v>0.6952592654379608</v>
      </c>
      <c r="S98" s="87">
        <f t="shared" si="11"/>
        <v>0</v>
      </c>
    </row>
    <row r="99" spans="1:19" ht="15" customHeight="1">
      <c r="A99" s="82" t="s">
        <v>103</v>
      </c>
      <c r="B99" s="93">
        <v>96</v>
      </c>
      <c r="C99" s="117">
        <f t="shared" si="17"/>
        <v>328087.58342354797</v>
      </c>
      <c r="D99" s="117">
        <f>IF(G98=0,0,IF(G98&lt;BondCalculator!$B$13,G98+E99,BondCalculator!$B$13))</f>
        <v>13000</v>
      </c>
      <c r="E99" s="117">
        <f>C99*BondCalculator!$B$7/12</f>
        <v>2734.063195196233</v>
      </c>
      <c r="F99" s="117">
        <f t="shared" si="12"/>
        <v>10265.936804803767</v>
      </c>
      <c r="G99" s="117">
        <f t="shared" si="13"/>
        <v>317821.6466187442</v>
      </c>
      <c r="H99" s="94">
        <f t="shared" si="14"/>
        <v>0.3178216466187442</v>
      </c>
      <c r="J99" s="85">
        <f t="shared" si="15"/>
        <v>328087.58342354797</v>
      </c>
      <c r="K99" s="85">
        <f>IF(N98=0,0,IF(N98&lt;BondCalculator!$B$14+BondCalculator!$B$15,N98+L99,BondCalculator!$B$14+BondCalculator!$B$15))</f>
        <v>13000</v>
      </c>
      <c r="L99" s="85">
        <f>J99*BondCalculator!$B$7/12</f>
        <v>2734.063195196233</v>
      </c>
      <c r="M99" s="85">
        <f t="shared" si="16"/>
        <v>10265.936804803767</v>
      </c>
      <c r="N99" s="85">
        <f t="shared" si="9"/>
        <v>317821.6466187442</v>
      </c>
      <c r="P99" s="85">
        <f t="shared" si="10"/>
        <v>0</v>
      </c>
      <c r="Q99" s="86">
        <f>-PV(BondCalculator!$B$10/12,B99,0,1,0)</f>
        <v>0.6926042823555979</v>
      </c>
      <c r="S99" s="87">
        <f t="shared" si="11"/>
        <v>0</v>
      </c>
    </row>
    <row r="100" spans="1:19" ht="15" customHeight="1">
      <c r="A100" s="82" t="s">
        <v>104</v>
      </c>
      <c r="B100" s="93">
        <v>97</v>
      </c>
      <c r="C100" s="117">
        <f t="shared" si="17"/>
        <v>317821.6466187442</v>
      </c>
      <c r="D100" s="117">
        <f>IF(G99=0,0,IF(G99&lt;BondCalculator!$B$13,G99+E100,BondCalculator!$B$13))</f>
        <v>13000</v>
      </c>
      <c r="E100" s="117">
        <f>C100*BondCalculator!$B$7/12</f>
        <v>2648.5137218228683</v>
      </c>
      <c r="F100" s="117">
        <f t="shared" si="12"/>
        <v>10351.486278177132</v>
      </c>
      <c r="G100" s="117">
        <f t="shared" si="13"/>
        <v>307470.16034056706</v>
      </c>
      <c r="H100" s="94">
        <f t="shared" si="14"/>
        <v>0.30747016034056707</v>
      </c>
      <c r="J100" s="85">
        <f t="shared" si="15"/>
        <v>317821.6466187442</v>
      </c>
      <c r="K100" s="85">
        <f>IF(N99=0,0,IF(N99&lt;BondCalculator!$B$14+BondCalculator!$B$15,N99+L100,BondCalculator!$B$14+BondCalculator!$B$15))</f>
        <v>13000</v>
      </c>
      <c r="L100" s="85">
        <f>J100*BondCalculator!$B$7/12</f>
        <v>2648.5137218228683</v>
      </c>
      <c r="M100" s="85">
        <f t="shared" si="16"/>
        <v>10351.486278177132</v>
      </c>
      <c r="N100" s="85">
        <f t="shared" si="9"/>
        <v>307470.16034056706</v>
      </c>
      <c r="P100" s="85">
        <f t="shared" si="10"/>
        <v>0</v>
      </c>
      <c r="Q100" s="86">
        <f>-PV(BondCalculator!$B$10/12,B100,0,1,0)</f>
        <v>0.689959437843863</v>
      </c>
      <c r="S100" s="87">
        <f t="shared" si="11"/>
        <v>0</v>
      </c>
    </row>
    <row r="101" spans="1:19" ht="15" customHeight="1">
      <c r="A101" s="82" t="s">
        <v>104</v>
      </c>
      <c r="B101" s="93">
        <v>98</v>
      </c>
      <c r="C101" s="117">
        <f t="shared" si="17"/>
        <v>307470.16034056706</v>
      </c>
      <c r="D101" s="117">
        <f>IF(G100=0,0,IF(G100&lt;BondCalculator!$B$13,G100+E101,BondCalculator!$B$13))</f>
        <v>13000</v>
      </c>
      <c r="E101" s="117">
        <f>C101*BondCalculator!$B$7/12</f>
        <v>2562.2513361713923</v>
      </c>
      <c r="F101" s="117">
        <f t="shared" si="12"/>
        <v>10437.748663828608</v>
      </c>
      <c r="G101" s="117">
        <f t="shared" si="13"/>
        <v>297032.41167673847</v>
      </c>
      <c r="H101" s="94">
        <f t="shared" si="14"/>
        <v>0.2970324116767385</v>
      </c>
      <c r="J101" s="85">
        <f t="shared" si="15"/>
        <v>307470.16034056706</v>
      </c>
      <c r="K101" s="85">
        <f>IF(N100=0,0,IF(N100&lt;BondCalculator!$B$14+BondCalculator!$B$15,N100+L101,BondCalculator!$B$14+BondCalculator!$B$15))</f>
        <v>13000</v>
      </c>
      <c r="L101" s="85">
        <f>J101*BondCalculator!$B$7/12</f>
        <v>2562.2513361713923</v>
      </c>
      <c r="M101" s="85">
        <f t="shared" si="16"/>
        <v>10437.748663828608</v>
      </c>
      <c r="N101" s="85">
        <f t="shared" si="9"/>
        <v>297032.41167673847</v>
      </c>
      <c r="P101" s="85">
        <f t="shared" si="10"/>
        <v>0</v>
      </c>
      <c r="Q101" s="86">
        <f>-PV(BondCalculator!$B$10/12,B101,0,1,0)</f>
        <v>0.6873246931866477</v>
      </c>
      <c r="S101" s="87">
        <f t="shared" si="11"/>
        <v>0</v>
      </c>
    </row>
    <row r="102" spans="1:19" ht="15" customHeight="1">
      <c r="A102" s="82" t="s">
        <v>104</v>
      </c>
      <c r="B102" s="93">
        <v>99</v>
      </c>
      <c r="C102" s="117">
        <f t="shared" si="17"/>
        <v>297032.41167673847</v>
      </c>
      <c r="D102" s="117">
        <f>IF(G101=0,0,IF(G101&lt;BondCalculator!$B$13,G101+E102,BondCalculator!$B$13))</f>
        <v>13000</v>
      </c>
      <c r="E102" s="117">
        <f>C102*BondCalculator!$B$7/12</f>
        <v>2475.270097306154</v>
      </c>
      <c r="F102" s="117">
        <f t="shared" si="12"/>
        <v>10524.729902693845</v>
      </c>
      <c r="G102" s="117">
        <f t="shared" si="13"/>
        <v>286507.68177404464</v>
      </c>
      <c r="H102" s="94">
        <f t="shared" si="14"/>
        <v>0.2865076817740446</v>
      </c>
      <c r="J102" s="85">
        <f t="shared" si="15"/>
        <v>297032.41167673847</v>
      </c>
      <c r="K102" s="85">
        <f>IF(N101=0,0,IF(N101&lt;BondCalculator!$B$14+BondCalculator!$B$15,N101+L102,BondCalculator!$B$14+BondCalculator!$B$15))</f>
        <v>13000</v>
      </c>
      <c r="L102" s="85">
        <f>J102*BondCalculator!$B$7/12</f>
        <v>2475.270097306154</v>
      </c>
      <c r="M102" s="85">
        <f t="shared" si="16"/>
        <v>10524.729902693845</v>
      </c>
      <c r="N102" s="85">
        <f t="shared" si="9"/>
        <v>286507.68177404464</v>
      </c>
      <c r="P102" s="85">
        <f t="shared" si="10"/>
        <v>0</v>
      </c>
      <c r="Q102" s="86">
        <f>-PV(BondCalculator!$B$10/12,B102,0,1,0)</f>
        <v>0.6847000098156875</v>
      </c>
      <c r="S102" s="87">
        <f t="shared" si="11"/>
        <v>0</v>
      </c>
    </row>
    <row r="103" spans="1:19" ht="15" customHeight="1">
      <c r="A103" s="82" t="s">
        <v>104</v>
      </c>
      <c r="B103" s="93">
        <v>100</v>
      </c>
      <c r="C103" s="117">
        <f t="shared" si="17"/>
        <v>286507.68177404464</v>
      </c>
      <c r="D103" s="117">
        <f>IF(G102=0,0,IF(G102&lt;BondCalculator!$B$13,G102+E103,BondCalculator!$B$13))</f>
        <v>13000</v>
      </c>
      <c r="E103" s="117">
        <f>C103*BondCalculator!$B$7/12</f>
        <v>2387.5640147837053</v>
      </c>
      <c r="F103" s="117">
        <f t="shared" si="12"/>
        <v>10612.435985216294</v>
      </c>
      <c r="G103" s="117">
        <f t="shared" si="13"/>
        <v>275895.24578882835</v>
      </c>
      <c r="H103" s="94">
        <f t="shared" si="14"/>
        <v>0.27589524578882835</v>
      </c>
      <c r="J103" s="85">
        <f t="shared" si="15"/>
        <v>286507.68177404464</v>
      </c>
      <c r="K103" s="85">
        <f>IF(N102=0,0,IF(N102&lt;BondCalculator!$B$14+BondCalculator!$B$15,N102+L103,BondCalculator!$B$14+BondCalculator!$B$15))</f>
        <v>13000</v>
      </c>
      <c r="L103" s="85">
        <f>J103*BondCalculator!$B$7/12</f>
        <v>2387.5640147837053</v>
      </c>
      <c r="M103" s="85">
        <f t="shared" si="16"/>
        <v>10612.435985216294</v>
      </c>
      <c r="N103" s="85">
        <f t="shared" si="9"/>
        <v>275895.24578882835</v>
      </c>
      <c r="P103" s="85">
        <f t="shared" si="10"/>
        <v>0</v>
      </c>
      <c r="Q103" s="86">
        <f>-PV(BondCalculator!$B$10/12,B103,0,1,0)</f>
        <v>0.6820853493099992</v>
      </c>
      <c r="S103" s="87">
        <f t="shared" si="11"/>
        <v>0</v>
      </c>
    </row>
    <row r="104" spans="1:19" ht="15" customHeight="1">
      <c r="A104" s="82" t="s">
        <v>104</v>
      </c>
      <c r="B104" s="93">
        <v>101</v>
      </c>
      <c r="C104" s="117">
        <f t="shared" si="17"/>
        <v>275895.24578882835</v>
      </c>
      <c r="D104" s="117">
        <f>IF(G103=0,0,IF(G103&lt;BondCalculator!$B$13,G103+E104,BondCalculator!$B$13))</f>
        <v>13000</v>
      </c>
      <c r="E104" s="117">
        <f>C104*BondCalculator!$B$7/12</f>
        <v>2299.1270482402365</v>
      </c>
      <c r="F104" s="117">
        <f t="shared" si="12"/>
        <v>10700.872951759764</v>
      </c>
      <c r="G104" s="117">
        <f t="shared" si="13"/>
        <v>265194.3728370686</v>
      </c>
      <c r="H104" s="94">
        <f t="shared" si="14"/>
        <v>0.2651943728370686</v>
      </c>
      <c r="J104" s="85">
        <f t="shared" si="15"/>
        <v>275895.24578882835</v>
      </c>
      <c r="K104" s="85">
        <f>IF(N103=0,0,IF(N103&lt;BondCalculator!$B$14+BondCalculator!$B$15,N103+L104,BondCalculator!$B$14+BondCalculator!$B$15))</f>
        <v>13000</v>
      </c>
      <c r="L104" s="85">
        <f>J104*BondCalculator!$B$7/12</f>
        <v>2299.1270482402365</v>
      </c>
      <c r="M104" s="85">
        <f t="shared" si="16"/>
        <v>10700.872951759764</v>
      </c>
      <c r="N104" s="85">
        <f t="shared" si="9"/>
        <v>265194.3728370686</v>
      </c>
      <c r="P104" s="85">
        <f t="shared" si="10"/>
        <v>0</v>
      </c>
      <c r="Q104" s="86">
        <f>-PV(BondCalculator!$B$10/12,B104,0,1,0)</f>
        <v>0.6794806733953173</v>
      </c>
      <c r="S104" s="87">
        <f t="shared" si="11"/>
        <v>0</v>
      </c>
    </row>
    <row r="105" spans="1:19" ht="15" customHeight="1">
      <c r="A105" s="82" t="s">
        <v>104</v>
      </c>
      <c r="B105" s="93">
        <v>102</v>
      </c>
      <c r="C105" s="117">
        <f t="shared" si="17"/>
        <v>265194.3728370686</v>
      </c>
      <c r="D105" s="117">
        <f>IF(G104=0,0,IF(G104&lt;BondCalculator!$B$13,G104+E105,BondCalculator!$B$13))</f>
        <v>13000</v>
      </c>
      <c r="E105" s="117">
        <f>C105*BondCalculator!$B$7/12</f>
        <v>2209.9531069755717</v>
      </c>
      <c r="F105" s="117">
        <f t="shared" si="12"/>
        <v>10790.046893024428</v>
      </c>
      <c r="G105" s="117">
        <f t="shared" si="13"/>
        <v>254404.32594404413</v>
      </c>
      <c r="H105" s="94">
        <f t="shared" si="14"/>
        <v>0.2544043259440441</v>
      </c>
      <c r="J105" s="85">
        <f t="shared" si="15"/>
        <v>265194.3728370686</v>
      </c>
      <c r="K105" s="85">
        <f>IF(N104=0,0,IF(N104&lt;BondCalculator!$B$14+BondCalculator!$B$15,N104+L105,BondCalculator!$B$14+BondCalculator!$B$15))</f>
        <v>13000</v>
      </c>
      <c r="L105" s="85">
        <f>J105*BondCalculator!$B$7/12</f>
        <v>2209.9531069755717</v>
      </c>
      <c r="M105" s="85">
        <f t="shared" si="16"/>
        <v>10790.046893024428</v>
      </c>
      <c r="N105" s="85">
        <f t="shared" si="9"/>
        <v>254404.32594404413</v>
      </c>
      <c r="P105" s="85">
        <f t="shared" si="10"/>
        <v>0</v>
      </c>
      <c r="Q105" s="86">
        <f>-PV(BondCalculator!$B$10/12,B105,0,1,0)</f>
        <v>0.6768859439435336</v>
      </c>
      <c r="S105" s="87">
        <f t="shared" si="11"/>
        <v>0</v>
      </c>
    </row>
    <row r="106" spans="1:19" ht="15" customHeight="1">
      <c r="A106" s="82" t="s">
        <v>104</v>
      </c>
      <c r="B106" s="93">
        <v>103</v>
      </c>
      <c r="C106" s="117">
        <f t="shared" si="17"/>
        <v>254404.32594404413</v>
      </c>
      <c r="D106" s="117">
        <f>IF(G105=0,0,IF(G105&lt;BondCalculator!$B$13,G105+E106,BondCalculator!$B$13))</f>
        <v>13000</v>
      </c>
      <c r="E106" s="117">
        <f>C106*BondCalculator!$B$7/12</f>
        <v>2120.0360495337013</v>
      </c>
      <c r="F106" s="117">
        <f t="shared" si="12"/>
        <v>10879.9639504663</v>
      </c>
      <c r="G106" s="117">
        <f t="shared" si="13"/>
        <v>243524.36199357783</v>
      </c>
      <c r="H106" s="94">
        <f t="shared" si="14"/>
        <v>0.24352436199357783</v>
      </c>
      <c r="J106" s="85">
        <f t="shared" si="15"/>
        <v>254404.32594404413</v>
      </c>
      <c r="K106" s="85">
        <f>IF(N105=0,0,IF(N105&lt;BondCalculator!$B$14+BondCalculator!$B$15,N105+L106,BondCalculator!$B$14+BondCalculator!$B$15))</f>
        <v>13000</v>
      </c>
      <c r="L106" s="85">
        <f>J106*BondCalculator!$B$7/12</f>
        <v>2120.0360495337013</v>
      </c>
      <c r="M106" s="85">
        <f t="shared" si="16"/>
        <v>10879.9639504663</v>
      </c>
      <c r="N106" s="85">
        <f t="shared" si="9"/>
        <v>243524.36199357783</v>
      </c>
      <c r="P106" s="85">
        <f t="shared" si="10"/>
        <v>0</v>
      </c>
      <c r="Q106" s="86">
        <f>-PV(BondCalculator!$B$10/12,B106,0,1,0)</f>
        <v>0.6743011229721405</v>
      </c>
      <c r="S106" s="87">
        <f t="shared" si="11"/>
        <v>0</v>
      </c>
    </row>
    <row r="107" spans="1:19" ht="15" customHeight="1">
      <c r="A107" s="82" t="s">
        <v>104</v>
      </c>
      <c r="B107" s="93">
        <v>104</v>
      </c>
      <c r="C107" s="117">
        <f t="shared" si="17"/>
        <v>243524.36199357783</v>
      </c>
      <c r="D107" s="117">
        <f>IF(G106=0,0,IF(G106&lt;BondCalculator!$B$13,G106+E107,BondCalculator!$B$13))</f>
        <v>13000</v>
      </c>
      <c r="E107" s="117">
        <f>C107*BondCalculator!$B$7/12</f>
        <v>2029.3696832798153</v>
      </c>
      <c r="F107" s="117">
        <f t="shared" si="12"/>
        <v>10970.630316720184</v>
      </c>
      <c r="G107" s="117">
        <f t="shared" si="13"/>
        <v>232553.73167685763</v>
      </c>
      <c r="H107" s="94">
        <f t="shared" si="14"/>
        <v>0.23255373167685764</v>
      </c>
      <c r="J107" s="85">
        <f t="shared" si="15"/>
        <v>243524.36199357783</v>
      </c>
      <c r="K107" s="85">
        <f>IF(N106=0,0,IF(N106&lt;BondCalculator!$B$14+BondCalculator!$B$15,N106+L107,BondCalculator!$B$14+BondCalculator!$B$15))</f>
        <v>13000</v>
      </c>
      <c r="L107" s="85">
        <f>J107*BondCalculator!$B$7/12</f>
        <v>2029.3696832798153</v>
      </c>
      <c r="M107" s="85">
        <f t="shared" si="16"/>
        <v>10970.630316720184</v>
      </c>
      <c r="N107" s="85">
        <f t="shared" si="9"/>
        <v>232553.73167685763</v>
      </c>
      <c r="P107" s="85">
        <f t="shared" si="10"/>
        <v>0</v>
      </c>
      <c r="Q107" s="86">
        <f>-PV(BondCalculator!$B$10/12,B107,0,1,0)</f>
        <v>0.671726172643673</v>
      </c>
      <c r="S107" s="87">
        <f t="shared" si="11"/>
        <v>0</v>
      </c>
    </row>
    <row r="108" spans="1:19" ht="15" customHeight="1">
      <c r="A108" s="82" t="s">
        <v>104</v>
      </c>
      <c r="B108" s="93">
        <v>105</v>
      </c>
      <c r="C108" s="117">
        <f t="shared" si="17"/>
        <v>232553.73167685763</v>
      </c>
      <c r="D108" s="117">
        <f>IF(G107=0,0,IF(G107&lt;BondCalculator!$B$13,G107+E108,BondCalculator!$B$13))</f>
        <v>13000</v>
      </c>
      <c r="E108" s="117">
        <f>C108*BondCalculator!$B$7/12</f>
        <v>1937.9477639738136</v>
      </c>
      <c r="F108" s="117">
        <f t="shared" si="12"/>
        <v>11062.052236026186</v>
      </c>
      <c r="G108" s="117">
        <f t="shared" si="13"/>
        <v>221491.67944083145</v>
      </c>
      <c r="H108" s="94">
        <f t="shared" si="14"/>
        <v>0.22149167944083145</v>
      </c>
      <c r="J108" s="85">
        <f t="shared" si="15"/>
        <v>232553.73167685763</v>
      </c>
      <c r="K108" s="85">
        <f>IF(N107=0,0,IF(N107&lt;BondCalculator!$B$14+BondCalculator!$B$15,N107+L108,BondCalculator!$B$14+BondCalculator!$B$15))</f>
        <v>13000</v>
      </c>
      <c r="L108" s="85">
        <f>J108*BondCalculator!$B$7/12</f>
        <v>1937.9477639738136</v>
      </c>
      <c r="M108" s="85">
        <f t="shared" si="16"/>
        <v>11062.052236026186</v>
      </c>
      <c r="N108" s="85">
        <f t="shared" si="9"/>
        <v>221491.67944083145</v>
      </c>
      <c r="P108" s="85">
        <f t="shared" si="10"/>
        <v>0</v>
      </c>
      <c r="Q108" s="86">
        <f>-PV(BondCalculator!$B$10/12,B108,0,1,0)</f>
        <v>0.6691610552651565</v>
      </c>
      <c r="S108" s="87">
        <f t="shared" si="11"/>
        <v>0</v>
      </c>
    </row>
    <row r="109" spans="1:19" ht="15" customHeight="1">
      <c r="A109" s="82" t="s">
        <v>104</v>
      </c>
      <c r="B109" s="93">
        <v>106</v>
      </c>
      <c r="C109" s="117">
        <f t="shared" si="17"/>
        <v>221491.67944083145</v>
      </c>
      <c r="D109" s="117">
        <f>IF(G108=0,0,IF(G108&lt;BondCalculator!$B$13,G108+E109,BondCalculator!$B$13))</f>
        <v>13000</v>
      </c>
      <c r="E109" s="117">
        <f>C109*BondCalculator!$B$7/12</f>
        <v>1845.7639953402622</v>
      </c>
      <c r="F109" s="117">
        <f t="shared" si="12"/>
        <v>11154.236004659739</v>
      </c>
      <c r="G109" s="117">
        <f t="shared" si="13"/>
        <v>210337.4434361717</v>
      </c>
      <c r="H109" s="94">
        <f t="shared" si="14"/>
        <v>0.21033744343617172</v>
      </c>
      <c r="J109" s="85">
        <f t="shared" si="15"/>
        <v>221491.67944083145</v>
      </c>
      <c r="K109" s="85">
        <f>IF(N108=0,0,IF(N108&lt;BondCalculator!$B$14+BondCalculator!$B$15,N108+L109,BondCalculator!$B$14+BondCalculator!$B$15))</f>
        <v>13000</v>
      </c>
      <c r="L109" s="85">
        <f>J109*BondCalculator!$B$7/12</f>
        <v>1845.7639953402622</v>
      </c>
      <c r="M109" s="85">
        <f t="shared" si="16"/>
        <v>11154.236004659739</v>
      </c>
      <c r="N109" s="85">
        <f t="shared" si="9"/>
        <v>210337.4434361717</v>
      </c>
      <c r="P109" s="85">
        <f t="shared" si="10"/>
        <v>0</v>
      </c>
      <c r="Q109" s="86">
        <f>-PV(BondCalculator!$B$10/12,B109,0,1,0)</f>
        <v>0.6666057332875543</v>
      </c>
      <c r="S109" s="87">
        <f t="shared" si="11"/>
        <v>0</v>
      </c>
    </row>
    <row r="110" spans="1:19" ht="15" customHeight="1">
      <c r="A110" s="82" t="s">
        <v>104</v>
      </c>
      <c r="B110" s="93">
        <v>107</v>
      </c>
      <c r="C110" s="117">
        <f t="shared" si="17"/>
        <v>210337.4434361717</v>
      </c>
      <c r="D110" s="117">
        <f>IF(G109=0,0,IF(G109&lt;BondCalculator!$B$13,G109+E110,BondCalculator!$B$13))</f>
        <v>13000</v>
      </c>
      <c r="E110" s="117">
        <f>C110*BondCalculator!$B$7/12</f>
        <v>1752.8120286347646</v>
      </c>
      <c r="F110" s="117">
        <f t="shared" si="12"/>
        <v>11247.187971365236</v>
      </c>
      <c r="G110" s="117">
        <f t="shared" si="13"/>
        <v>199090.25546480648</v>
      </c>
      <c r="H110" s="94">
        <f t="shared" si="14"/>
        <v>0.1990902554648065</v>
      </c>
      <c r="J110" s="85">
        <f t="shared" si="15"/>
        <v>210337.4434361717</v>
      </c>
      <c r="K110" s="85">
        <f>IF(N109=0,0,IF(N109&lt;BondCalculator!$B$14+BondCalculator!$B$15,N109+L110,BondCalculator!$B$14+BondCalculator!$B$15))</f>
        <v>13000</v>
      </c>
      <c r="L110" s="85">
        <f>J110*BondCalculator!$B$7/12</f>
        <v>1752.8120286347646</v>
      </c>
      <c r="M110" s="85">
        <f t="shared" si="16"/>
        <v>11247.187971365236</v>
      </c>
      <c r="N110" s="85">
        <f t="shared" si="9"/>
        <v>199090.25546480648</v>
      </c>
      <c r="P110" s="85">
        <f t="shared" si="10"/>
        <v>0</v>
      </c>
      <c r="Q110" s="86">
        <f>-PV(BondCalculator!$B$10/12,B110,0,1,0)</f>
        <v>0.6640601693052177</v>
      </c>
      <c r="S110" s="87">
        <f t="shared" si="11"/>
        <v>0</v>
      </c>
    </row>
    <row r="111" spans="1:19" ht="15" customHeight="1">
      <c r="A111" s="82" t="s">
        <v>104</v>
      </c>
      <c r="B111" s="93">
        <v>108</v>
      </c>
      <c r="C111" s="117">
        <f t="shared" si="17"/>
        <v>199090.25546480648</v>
      </c>
      <c r="D111" s="117">
        <f>IF(G110=0,0,IF(G110&lt;BondCalculator!$B$13,G110+E111,BondCalculator!$B$13))</f>
        <v>13000</v>
      </c>
      <c r="E111" s="117">
        <f>C111*BondCalculator!$B$7/12</f>
        <v>1659.0854622067209</v>
      </c>
      <c r="F111" s="117">
        <f t="shared" si="12"/>
        <v>11340.91453779328</v>
      </c>
      <c r="G111" s="117">
        <f t="shared" si="13"/>
        <v>187749.3409270132</v>
      </c>
      <c r="H111" s="94">
        <f t="shared" si="14"/>
        <v>0.1877493409270132</v>
      </c>
      <c r="J111" s="85">
        <f t="shared" si="15"/>
        <v>199090.25546480648</v>
      </c>
      <c r="K111" s="85">
        <f>IF(N110=0,0,IF(N110&lt;BondCalculator!$B$14+BondCalculator!$B$15,N110+L111,BondCalculator!$B$14+BondCalculator!$B$15))</f>
        <v>13000</v>
      </c>
      <c r="L111" s="85">
        <f>J111*BondCalculator!$B$7/12</f>
        <v>1659.0854622067209</v>
      </c>
      <c r="M111" s="85">
        <f t="shared" si="16"/>
        <v>11340.91453779328</v>
      </c>
      <c r="N111" s="85">
        <f t="shared" si="9"/>
        <v>187749.3409270132</v>
      </c>
      <c r="P111" s="85">
        <f t="shared" si="10"/>
        <v>0</v>
      </c>
      <c r="Q111" s="86">
        <f>-PV(BondCalculator!$B$10/12,B111,0,1,0)</f>
        <v>0.661524326055339</v>
      </c>
      <c r="S111" s="87">
        <f t="shared" si="11"/>
        <v>0</v>
      </c>
    </row>
    <row r="112" spans="1:19" ht="15" customHeight="1">
      <c r="A112" s="82" t="s">
        <v>105</v>
      </c>
      <c r="B112" s="93">
        <v>109</v>
      </c>
      <c r="C112" s="117">
        <f t="shared" si="17"/>
        <v>187749.3409270132</v>
      </c>
      <c r="D112" s="117">
        <f>IF(G111=0,0,IF(G111&lt;BondCalculator!$B$13,G111+E112,BondCalculator!$B$13))</f>
        <v>13000</v>
      </c>
      <c r="E112" s="117">
        <f>C112*BondCalculator!$B$7/12</f>
        <v>1564.5778410584435</v>
      </c>
      <c r="F112" s="117">
        <f t="shared" si="12"/>
        <v>11435.422158941557</v>
      </c>
      <c r="G112" s="117">
        <f t="shared" si="13"/>
        <v>176313.91876807163</v>
      </c>
      <c r="H112" s="94">
        <f t="shared" si="14"/>
        <v>0.17631391876807162</v>
      </c>
      <c r="J112" s="85">
        <f t="shared" si="15"/>
        <v>187749.3409270132</v>
      </c>
      <c r="K112" s="85">
        <f>IF(N111=0,0,IF(N111&lt;BondCalculator!$B$14+BondCalculator!$B$15,N111+L112,BondCalculator!$B$14+BondCalculator!$B$15))</f>
        <v>13000</v>
      </c>
      <c r="L112" s="85">
        <f>J112*BondCalculator!$B$7/12</f>
        <v>1564.5778410584435</v>
      </c>
      <c r="M112" s="85">
        <f t="shared" si="16"/>
        <v>11435.422158941557</v>
      </c>
      <c r="N112" s="85">
        <f t="shared" si="9"/>
        <v>176313.91876807163</v>
      </c>
      <c r="P112" s="85">
        <f t="shared" si="10"/>
        <v>0</v>
      </c>
      <c r="Q112" s="86">
        <f>-PV(BondCalculator!$B$10/12,B112,0,1,0)</f>
        <v>0.6589981664174057</v>
      </c>
      <c r="S112" s="87">
        <f t="shared" si="11"/>
        <v>0</v>
      </c>
    </row>
    <row r="113" spans="1:19" ht="15" customHeight="1">
      <c r="A113" s="82" t="s">
        <v>105</v>
      </c>
      <c r="B113" s="93">
        <v>110</v>
      </c>
      <c r="C113" s="117">
        <f t="shared" si="17"/>
        <v>176313.91876807163</v>
      </c>
      <c r="D113" s="117">
        <f>IF(G112=0,0,IF(G112&lt;BondCalculator!$B$13,G112+E113,BondCalculator!$B$13))</f>
        <v>13000</v>
      </c>
      <c r="E113" s="117">
        <f>C113*BondCalculator!$B$7/12</f>
        <v>1469.282656400597</v>
      </c>
      <c r="F113" s="117">
        <f t="shared" si="12"/>
        <v>11530.717343599403</v>
      </c>
      <c r="G113" s="117">
        <f t="shared" si="13"/>
        <v>164783.20142447224</v>
      </c>
      <c r="H113" s="94">
        <f t="shared" si="14"/>
        <v>0.16478320142447223</v>
      </c>
      <c r="J113" s="85">
        <f t="shared" si="15"/>
        <v>176313.91876807163</v>
      </c>
      <c r="K113" s="85">
        <f>IF(N112=0,0,IF(N112&lt;BondCalculator!$B$14+BondCalculator!$B$15,N112+L113,BondCalculator!$B$14+BondCalculator!$B$15))</f>
        <v>13000</v>
      </c>
      <c r="L113" s="85">
        <f>J113*BondCalculator!$B$7/12</f>
        <v>1469.282656400597</v>
      </c>
      <c r="M113" s="85">
        <f t="shared" si="16"/>
        <v>11530.717343599403</v>
      </c>
      <c r="N113" s="85">
        <f t="shared" si="9"/>
        <v>164783.20142447224</v>
      </c>
      <c r="P113" s="85">
        <f t="shared" si="10"/>
        <v>0</v>
      </c>
      <c r="Q113" s="86">
        <f>-PV(BondCalculator!$B$10/12,B113,0,1,0)</f>
        <v>0.6564816534126571</v>
      </c>
      <c r="S113" s="87">
        <f t="shared" si="11"/>
        <v>0</v>
      </c>
    </row>
    <row r="114" spans="1:19" ht="15" customHeight="1">
      <c r="A114" s="82" t="s">
        <v>105</v>
      </c>
      <c r="B114" s="93">
        <v>111</v>
      </c>
      <c r="C114" s="117">
        <f t="shared" si="17"/>
        <v>164783.20142447224</v>
      </c>
      <c r="D114" s="117">
        <f>IF(G113=0,0,IF(G113&lt;BondCalculator!$B$13,G113+E114,BondCalculator!$B$13))</f>
        <v>13000</v>
      </c>
      <c r="E114" s="117">
        <f>C114*BondCalculator!$B$7/12</f>
        <v>1373.1933452039355</v>
      </c>
      <c r="F114" s="117">
        <f t="shared" si="12"/>
        <v>11626.806654796064</v>
      </c>
      <c r="G114" s="117">
        <f t="shared" si="13"/>
        <v>153156.39476967618</v>
      </c>
      <c r="H114" s="94">
        <f t="shared" si="14"/>
        <v>0.15315639476967619</v>
      </c>
      <c r="J114" s="85">
        <f t="shared" si="15"/>
        <v>164783.20142447224</v>
      </c>
      <c r="K114" s="85">
        <f>IF(N113=0,0,IF(N113&lt;BondCalculator!$B$14+BondCalculator!$B$15,N113+L114,BondCalculator!$B$14+BondCalculator!$B$15))</f>
        <v>13000</v>
      </c>
      <c r="L114" s="85">
        <f>J114*BondCalculator!$B$7/12</f>
        <v>1373.1933452039355</v>
      </c>
      <c r="M114" s="85">
        <f t="shared" si="16"/>
        <v>11626.806654796064</v>
      </c>
      <c r="N114" s="85">
        <f t="shared" si="9"/>
        <v>153156.39476967618</v>
      </c>
      <c r="P114" s="85">
        <f t="shared" si="10"/>
        <v>0</v>
      </c>
      <c r="Q114" s="86">
        <f>-PV(BondCalculator!$B$10/12,B114,0,1,0)</f>
        <v>0.6539747502035435</v>
      </c>
      <c r="S114" s="87">
        <f t="shared" si="11"/>
        <v>0</v>
      </c>
    </row>
    <row r="115" spans="1:19" ht="15" customHeight="1">
      <c r="A115" s="82" t="s">
        <v>105</v>
      </c>
      <c r="B115" s="93">
        <v>112</v>
      </c>
      <c r="C115" s="117">
        <f t="shared" si="17"/>
        <v>153156.39476967618</v>
      </c>
      <c r="D115" s="117">
        <f>IF(G114=0,0,IF(G114&lt;BondCalculator!$B$13,G114+E115,BondCalculator!$B$13))</f>
        <v>13000</v>
      </c>
      <c r="E115" s="117">
        <f>C115*BondCalculator!$B$7/12</f>
        <v>1276.3032897473015</v>
      </c>
      <c r="F115" s="117">
        <f t="shared" si="12"/>
        <v>11723.696710252698</v>
      </c>
      <c r="G115" s="117">
        <f t="shared" si="13"/>
        <v>141432.69805942348</v>
      </c>
      <c r="H115" s="94">
        <f t="shared" si="14"/>
        <v>0.1414326980594235</v>
      </c>
      <c r="J115" s="85">
        <f t="shared" si="15"/>
        <v>153156.39476967618</v>
      </c>
      <c r="K115" s="85">
        <f>IF(N114=0,0,IF(N114&lt;BondCalculator!$B$14+BondCalculator!$B$15,N114+L115,BondCalculator!$B$14+BondCalculator!$B$15))</f>
        <v>13000</v>
      </c>
      <c r="L115" s="85">
        <f>J115*BondCalculator!$B$7/12</f>
        <v>1276.3032897473015</v>
      </c>
      <c r="M115" s="85">
        <f t="shared" si="16"/>
        <v>11723.696710252698</v>
      </c>
      <c r="N115" s="85">
        <f t="shared" si="9"/>
        <v>141432.69805942348</v>
      </c>
      <c r="P115" s="85">
        <f t="shared" si="10"/>
        <v>0</v>
      </c>
      <c r="Q115" s="86">
        <f>-PV(BondCalculator!$B$10/12,B115,0,1,0)</f>
        <v>0.6514774200931862</v>
      </c>
      <c r="S115" s="87">
        <f t="shared" si="11"/>
        <v>0</v>
      </c>
    </row>
    <row r="116" spans="1:19" ht="15" customHeight="1">
      <c r="A116" s="82" t="s">
        <v>105</v>
      </c>
      <c r="B116" s="93">
        <v>113</v>
      </c>
      <c r="C116" s="117">
        <f t="shared" si="17"/>
        <v>141432.69805942348</v>
      </c>
      <c r="D116" s="117">
        <f>IF(G115=0,0,IF(G115&lt;BondCalculator!$B$13,G115+E116,BondCalculator!$B$13))</f>
        <v>13000</v>
      </c>
      <c r="E116" s="117">
        <f>C116*BondCalculator!$B$7/12</f>
        <v>1178.6058171618624</v>
      </c>
      <c r="F116" s="117">
        <f t="shared" si="12"/>
        <v>11821.394182838138</v>
      </c>
      <c r="G116" s="117">
        <f t="shared" si="13"/>
        <v>129611.30387658534</v>
      </c>
      <c r="H116" s="94">
        <f t="shared" si="14"/>
        <v>0.12961130387658534</v>
      </c>
      <c r="J116" s="85">
        <f t="shared" si="15"/>
        <v>141432.69805942348</v>
      </c>
      <c r="K116" s="85">
        <f>IF(N115=0,0,IF(N115&lt;BondCalculator!$B$14+BondCalculator!$B$15,N115+L116,BondCalculator!$B$14+BondCalculator!$B$15))</f>
        <v>13000</v>
      </c>
      <c r="L116" s="85">
        <f>J116*BondCalculator!$B$7/12</f>
        <v>1178.6058171618624</v>
      </c>
      <c r="M116" s="85">
        <f t="shared" si="16"/>
        <v>11821.394182838138</v>
      </c>
      <c r="N116" s="85">
        <f t="shared" si="9"/>
        <v>129611.30387658534</v>
      </c>
      <c r="P116" s="85">
        <f t="shared" si="10"/>
        <v>0</v>
      </c>
      <c r="Q116" s="86">
        <f>-PV(BondCalculator!$B$10/12,B116,0,1,0)</f>
        <v>0.6489896265248409</v>
      </c>
      <c r="S116" s="87">
        <f t="shared" si="11"/>
        <v>0</v>
      </c>
    </row>
    <row r="117" spans="1:19" ht="15" customHeight="1">
      <c r="A117" s="82" t="s">
        <v>105</v>
      </c>
      <c r="B117" s="93">
        <v>114</v>
      </c>
      <c r="C117" s="117">
        <f t="shared" si="17"/>
        <v>129611.30387658534</v>
      </c>
      <c r="D117" s="117">
        <f>IF(G116=0,0,IF(G116&lt;BondCalculator!$B$13,G116+E117,BondCalculator!$B$13))</f>
        <v>13000</v>
      </c>
      <c r="E117" s="117">
        <f>C117*BondCalculator!$B$7/12</f>
        <v>1080.0941989715445</v>
      </c>
      <c r="F117" s="117">
        <f t="shared" si="12"/>
        <v>11919.905801028455</v>
      </c>
      <c r="G117" s="117">
        <f t="shared" si="13"/>
        <v>117691.39807555689</v>
      </c>
      <c r="H117" s="94">
        <f t="shared" si="14"/>
        <v>0.1176913980755569</v>
      </c>
      <c r="J117" s="85">
        <f t="shared" si="15"/>
        <v>129611.30387658534</v>
      </c>
      <c r="K117" s="85">
        <f>IF(N116=0,0,IF(N116&lt;BondCalculator!$B$14+BondCalculator!$B$15,N116+L117,BondCalculator!$B$14+BondCalculator!$B$15))</f>
        <v>13000</v>
      </c>
      <c r="L117" s="85">
        <f>J117*BondCalculator!$B$7/12</f>
        <v>1080.0941989715445</v>
      </c>
      <c r="M117" s="85">
        <f t="shared" si="16"/>
        <v>11919.905801028455</v>
      </c>
      <c r="N117" s="85">
        <f t="shared" si="9"/>
        <v>117691.39807555689</v>
      </c>
      <c r="P117" s="85">
        <f t="shared" si="10"/>
        <v>0</v>
      </c>
      <c r="Q117" s="86">
        <f>-PV(BondCalculator!$B$10/12,B117,0,1,0)</f>
        <v>0.6465113330813625</v>
      </c>
      <c r="S117" s="87">
        <f t="shared" si="11"/>
        <v>0</v>
      </c>
    </row>
    <row r="118" spans="1:19" ht="15" customHeight="1">
      <c r="A118" s="82" t="s">
        <v>105</v>
      </c>
      <c r="B118" s="93">
        <v>115</v>
      </c>
      <c r="C118" s="117">
        <f t="shared" si="17"/>
        <v>117691.39807555689</v>
      </c>
      <c r="D118" s="117">
        <f>IF(G117=0,0,IF(G117&lt;BondCalculator!$B$13,G117+E118,BondCalculator!$B$13))</f>
        <v>13000</v>
      </c>
      <c r="E118" s="117">
        <f>C118*BondCalculator!$B$7/12</f>
        <v>980.7616506296408</v>
      </c>
      <c r="F118" s="117">
        <f t="shared" si="12"/>
        <v>12019.23834937036</v>
      </c>
      <c r="G118" s="117">
        <f t="shared" si="13"/>
        <v>105672.15972618654</v>
      </c>
      <c r="H118" s="94">
        <f t="shared" si="14"/>
        <v>0.10567215972618654</v>
      </c>
      <c r="J118" s="85">
        <f t="shared" si="15"/>
        <v>117691.39807555689</v>
      </c>
      <c r="K118" s="85">
        <f>IF(N117=0,0,IF(N117&lt;BondCalculator!$B$14+BondCalculator!$B$15,N117+L118,BondCalculator!$B$14+BondCalculator!$B$15))</f>
        <v>13000</v>
      </c>
      <c r="L118" s="85">
        <f>J118*BondCalculator!$B$7/12</f>
        <v>980.7616506296408</v>
      </c>
      <c r="M118" s="85">
        <f t="shared" si="16"/>
        <v>12019.23834937036</v>
      </c>
      <c r="N118" s="85">
        <f t="shared" si="9"/>
        <v>105672.15972618654</v>
      </c>
      <c r="P118" s="85">
        <f t="shared" si="10"/>
        <v>0</v>
      </c>
      <c r="Q118" s="86">
        <f>-PV(BondCalculator!$B$10/12,B118,0,1,0)</f>
        <v>0.6440425034846712</v>
      </c>
      <c r="S118" s="87">
        <f t="shared" si="11"/>
        <v>0</v>
      </c>
    </row>
    <row r="119" spans="1:19" ht="15" customHeight="1">
      <c r="A119" s="82" t="s">
        <v>105</v>
      </c>
      <c r="B119" s="93">
        <v>116</v>
      </c>
      <c r="C119" s="117">
        <f t="shared" si="17"/>
        <v>105672.15972618654</v>
      </c>
      <c r="D119" s="117">
        <f>IF(G118=0,0,IF(G118&lt;BondCalculator!$B$13,G118+E119,BondCalculator!$B$13))</f>
        <v>13000</v>
      </c>
      <c r="E119" s="117">
        <f>C119*BondCalculator!$B$7/12</f>
        <v>880.6013310515546</v>
      </c>
      <c r="F119" s="117">
        <f t="shared" si="12"/>
        <v>12119.398668948445</v>
      </c>
      <c r="G119" s="117">
        <f t="shared" si="13"/>
        <v>93552.7610572381</v>
      </c>
      <c r="H119" s="94">
        <f t="shared" si="14"/>
        <v>0.0935527610572381</v>
      </c>
      <c r="J119" s="85">
        <f t="shared" si="15"/>
        <v>105672.15972618654</v>
      </c>
      <c r="K119" s="85">
        <f>IF(N118=0,0,IF(N118&lt;BondCalculator!$B$14+BondCalculator!$B$15,N118+L119,BondCalculator!$B$14+BondCalculator!$B$15))</f>
        <v>13000</v>
      </c>
      <c r="L119" s="85">
        <f>J119*BondCalculator!$B$7/12</f>
        <v>880.6013310515546</v>
      </c>
      <c r="M119" s="85">
        <f t="shared" si="16"/>
        <v>12119.398668948445</v>
      </c>
      <c r="N119" s="85">
        <f t="shared" si="9"/>
        <v>93552.7610572381</v>
      </c>
      <c r="P119" s="85">
        <f t="shared" si="10"/>
        <v>0</v>
      </c>
      <c r="Q119" s="86">
        <f>-PV(BondCalculator!$B$10/12,B119,0,1,0)</f>
        <v>0.641583101595223</v>
      </c>
      <c r="S119" s="87">
        <f t="shared" si="11"/>
        <v>0</v>
      </c>
    </row>
    <row r="120" spans="1:19" ht="15" customHeight="1">
      <c r="A120" s="82" t="s">
        <v>105</v>
      </c>
      <c r="B120" s="93">
        <v>117</v>
      </c>
      <c r="C120" s="117">
        <f t="shared" si="17"/>
        <v>93552.7610572381</v>
      </c>
      <c r="D120" s="117">
        <f>IF(G119=0,0,IF(G119&lt;BondCalculator!$B$13,G119+E120,BondCalculator!$B$13))</f>
        <v>13000</v>
      </c>
      <c r="E120" s="117">
        <f>C120*BondCalculator!$B$7/12</f>
        <v>779.6063421436507</v>
      </c>
      <c r="F120" s="117">
        <f t="shared" si="12"/>
        <v>12220.39365785635</v>
      </c>
      <c r="G120" s="117">
        <f t="shared" si="13"/>
        <v>81332.36739938175</v>
      </c>
      <c r="H120" s="94">
        <f t="shared" si="14"/>
        <v>0.08133236739938175</v>
      </c>
      <c r="J120" s="85">
        <f t="shared" si="15"/>
        <v>93552.7610572381</v>
      </c>
      <c r="K120" s="85">
        <f>IF(N119=0,0,IF(N119&lt;BondCalculator!$B$14+BondCalculator!$B$15,N119+L120,BondCalculator!$B$14+BondCalculator!$B$15))</f>
        <v>13000</v>
      </c>
      <c r="L120" s="85">
        <f>J120*BondCalculator!$B$7/12</f>
        <v>779.6063421436507</v>
      </c>
      <c r="M120" s="85">
        <f t="shared" si="16"/>
        <v>12220.39365785635</v>
      </c>
      <c r="N120" s="85">
        <f t="shared" si="9"/>
        <v>81332.36739938175</v>
      </c>
      <c r="P120" s="85">
        <f t="shared" si="10"/>
        <v>0</v>
      </c>
      <c r="Q120" s="86">
        <f>-PV(BondCalculator!$B$10/12,B120,0,1,0)</f>
        <v>0.6391330914114789</v>
      </c>
      <c r="S120" s="87">
        <f t="shared" si="11"/>
        <v>0</v>
      </c>
    </row>
    <row r="121" spans="1:19" ht="15" customHeight="1">
      <c r="A121" s="82" t="s">
        <v>105</v>
      </c>
      <c r="B121" s="93">
        <v>118</v>
      </c>
      <c r="C121" s="117">
        <f t="shared" si="17"/>
        <v>81332.36739938175</v>
      </c>
      <c r="D121" s="117">
        <f>IF(G120=0,0,IF(G120&lt;BondCalculator!$B$13,G120+E121,BondCalculator!$B$13))</f>
        <v>13000</v>
      </c>
      <c r="E121" s="117">
        <f>C121*BondCalculator!$B$7/12</f>
        <v>677.7697283281813</v>
      </c>
      <c r="F121" s="117">
        <f t="shared" si="12"/>
        <v>12322.230271671819</v>
      </c>
      <c r="G121" s="117">
        <f t="shared" si="13"/>
        <v>69010.13712770992</v>
      </c>
      <c r="H121" s="94">
        <f t="shared" si="14"/>
        <v>0.06901013712770993</v>
      </c>
      <c r="J121" s="85">
        <f t="shared" si="15"/>
        <v>81332.36739938175</v>
      </c>
      <c r="K121" s="85">
        <f>IF(N120=0,0,IF(N120&lt;BondCalculator!$B$14+BondCalculator!$B$15,N120+L121,BondCalculator!$B$14+BondCalculator!$B$15))</f>
        <v>13000</v>
      </c>
      <c r="L121" s="85">
        <f>J121*BondCalculator!$B$7/12</f>
        <v>677.7697283281813</v>
      </c>
      <c r="M121" s="85">
        <f t="shared" si="16"/>
        <v>12322.230271671819</v>
      </c>
      <c r="N121" s="85">
        <f t="shared" si="9"/>
        <v>69010.13712770992</v>
      </c>
      <c r="P121" s="85">
        <f t="shared" si="10"/>
        <v>0</v>
      </c>
      <c r="Q121" s="86">
        <f>-PV(BondCalculator!$B$10/12,B121,0,1,0)</f>
        <v>0.6366924370693796</v>
      </c>
      <c r="S121" s="87">
        <f t="shared" si="11"/>
        <v>0</v>
      </c>
    </row>
    <row r="122" spans="1:19" ht="15" customHeight="1">
      <c r="A122" s="82" t="s">
        <v>105</v>
      </c>
      <c r="B122" s="93">
        <v>119</v>
      </c>
      <c r="C122" s="117">
        <f t="shared" si="17"/>
        <v>69010.13712770992</v>
      </c>
      <c r="D122" s="117">
        <f>IF(G121=0,0,IF(G121&lt;BondCalculator!$B$13,G121+E122,BondCalculator!$B$13))</f>
        <v>13000</v>
      </c>
      <c r="E122" s="117">
        <f>C122*BondCalculator!$B$7/12</f>
        <v>575.0844760642494</v>
      </c>
      <c r="F122" s="117">
        <f t="shared" si="12"/>
        <v>12424.91552393575</v>
      </c>
      <c r="G122" s="117">
        <f t="shared" si="13"/>
        <v>56585.221603774175</v>
      </c>
      <c r="H122" s="94">
        <f t="shared" si="14"/>
        <v>0.056585221603774175</v>
      </c>
      <c r="J122" s="85">
        <f t="shared" si="15"/>
        <v>69010.13712770992</v>
      </c>
      <c r="K122" s="85">
        <f>IF(N121=0,0,IF(N121&lt;BondCalculator!$B$14+BondCalculator!$B$15,N121+L122,BondCalculator!$B$14+BondCalculator!$B$15))</f>
        <v>13000</v>
      </c>
      <c r="L122" s="85">
        <f>J122*BondCalculator!$B$7/12</f>
        <v>575.0844760642494</v>
      </c>
      <c r="M122" s="85">
        <f t="shared" si="16"/>
        <v>12424.91552393575</v>
      </c>
      <c r="N122" s="85">
        <f t="shared" si="9"/>
        <v>56585.221603774175</v>
      </c>
      <c r="P122" s="85">
        <f t="shared" si="10"/>
        <v>0</v>
      </c>
      <c r="Q122" s="86">
        <f>-PV(BondCalculator!$B$10/12,B122,0,1,0)</f>
        <v>0.6342611028418194</v>
      </c>
      <c r="S122" s="87">
        <f t="shared" si="11"/>
        <v>0</v>
      </c>
    </row>
    <row r="123" spans="1:19" ht="15" customHeight="1">
      <c r="A123" s="82" t="s">
        <v>105</v>
      </c>
      <c r="B123" s="93">
        <v>120</v>
      </c>
      <c r="C123" s="117">
        <f t="shared" si="17"/>
        <v>56585.221603774175</v>
      </c>
      <c r="D123" s="117">
        <f>IF(G122=0,0,IF(G122&lt;BondCalculator!$B$13,G122+E123,BondCalculator!$B$13))</f>
        <v>13000</v>
      </c>
      <c r="E123" s="117">
        <f>C123*BondCalculator!$B$7/12</f>
        <v>471.5435133647848</v>
      </c>
      <c r="F123" s="117">
        <f t="shared" si="12"/>
        <v>12528.456486635216</v>
      </c>
      <c r="G123" s="117">
        <f t="shared" si="13"/>
        <v>44056.76511713896</v>
      </c>
      <c r="H123" s="94">
        <f t="shared" si="14"/>
        <v>0.044056765117138956</v>
      </c>
      <c r="J123" s="85">
        <f t="shared" si="15"/>
        <v>56585.221603774175</v>
      </c>
      <c r="K123" s="85">
        <f>IF(N122=0,0,IF(N122&lt;BondCalculator!$B$14+BondCalculator!$B$15,N122+L123,BondCalculator!$B$14+BondCalculator!$B$15))</f>
        <v>13000</v>
      </c>
      <c r="L123" s="85">
        <f>J123*BondCalculator!$B$7/12</f>
        <v>471.5435133647848</v>
      </c>
      <c r="M123" s="85">
        <f t="shared" si="16"/>
        <v>12528.456486635216</v>
      </c>
      <c r="N123" s="85">
        <f t="shared" si="9"/>
        <v>44056.76511713896</v>
      </c>
      <c r="P123" s="85">
        <f t="shared" si="10"/>
        <v>0</v>
      </c>
      <c r="Q123" s="86">
        <f>-PV(BondCalculator!$B$10/12,B123,0,1,0)</f>
        <v>0.6318390531381232</v>
      </c>
      <c r="S123" s="87">
        <f t="shared" si="11"/>
        <v>0</v>
      </c>
    </row>
    <row r="124" spans="1:19" ht="15" customHeight="1">
      <c r="A124" s="82" t="s">
        <v>106</v>
      </c>
      <c r="B124" s="93">
        <v>121</v>
      </c>
      <c r="C124" s="117">
        <f t="shared" si="17"/>
        <v>44056.76511713896</v>
      </c>
      <c r="D124" s="117">
        <f>IF(G123=0,0,IF(G123&lt;BondCalculator!$B$13,G123+E124,BondCalculator!$B$13))</f>
        <v>13000</v>
      </c>
      <c r="E124" s="117">
        <f>C124*BondCalculator!$B$7/12</f>
        <v>367.1397093094913</v>
      </c>
      <c r="F124" s="117">
        <f t="shared" si="12"/>
        <v>12632.860290690509</v>
      </c>
      <c r="G124" s="117">
        <f t="shared" si="13"/>
        <v>31423.90482644845</v>
      </c>
      <c r="H124" s="94">
        <f t="shared" si="14"/>
        <v>0.031423904826448454</v>
      </c>
      <c r="J124" s="85">
        <f t="shared" si="15"/>
        <v>44056.76511713896</v>
      </c>
      <c r="K124" s="85">
        <f>IF(N123=0,0,IF(N123&lt;BondCalculator!$B$14+BondCalculator!$B$15,N123+L124,BondCalculator!$B$14+BondCalculator!$B$15))</f>
        <v>13000</v>
      </c>
      <c r="L124" s="85">
        <f>J124*BondCalculator!$B$7/12</f>
        <v>367.1397093094913</v>
      </c>
      <c r="M124" s="85">
        <f t="shared" si="16"/>
        <v>12632.860290690509</v>
      </c>
      <c r="N124" s="85">
        <f t="shared" si="9"/>
        <v>31423.90482644845</v>
      </c>
      <c r="P124" s="85">
        <f t="shared" si="10"/>
        <v>0</v>
      </c>
      <c r="Q124" s="86">
        <f>-PV(BondCalculator!$B$10/12,B124,0,1,0)</f>
        <v>0.6294262525035264</v>
      </c>
      <c r="S124" s="87">
        <f t="shared" si="11"/>
        <v>0</v>
      </c>
    </row>
    <row r="125" spans="1:19" ht="15" customHeight="1">
      <c r="A125" s="82" t="s">
        <v>106</v>
      </c>
      <c r="B125" s="93">
        <v>122</v>
      </c>
      <c r="C125" s="117">
        <f t="shared" si="17"/>
        <v>31423.90482644845</v>
      </c>
      <c r="D125" s="117">
        <f>IF(G124=0,0,IF(G124&lt;BondCalculator!$B$13,G124+E125,BondCalculator!$B$13))</f>
        <v>13000</v>
      </c>
      <c r="E125" s="117">
        <f>C125*BondCalculator!$B$7/12</f>
        <v>261.8658735537371</v>
      </c>
      <c r="F125" s="117">
        <f t="shared" si="12"/>
        <v>12738.134126446263</v>
      </c>
      <c r="G125" s="117">
        <f t="shared" si="13"/>
        <v>18685.77070000219</v>
      </c>
      <c r="H125" s="94">
        <f t="shared" si="14"/>
        <v>0.018685770700002192</v>
      </c>
      <c r="J125" s="85">
        <f t="shared" si="15"/>
        <v>31423.90482644845</v>
      </c>
      <c r="K125" s="85">
        <f>IF(N124=0,0,IF(N124&lt;BondCalculator!$B$14+BondCalculator!$B$15,N124+L125,BondCalculator!$B$14+BondCalculator!$B$15))</f>
        <v>13000</v>
      </c>
      <c r="L125" s="85">
        <f>J125*BondCalculator!$B$7/12</f>
        <v>261.8658735537371</v>
      </c>
      <c r="M125" s="85">
        <f t="shared" si="16"/>
        <v>12738.134126446263</v>
      </c>
      <c r="N125" s="85">
        <f t="shared" si="9"/>
        <v>18685.77070000219</v>
      </c>
      <c r="P125" s="85">
        <f t="shared" si="10"/>
        <v>0</v>
      </c>
      <c r="Q125" s="86">
        <f>-PV(BondCalculator!$B$10/12,B125,0,1,0)</f>
        <v>0.6270226656186547</v>
      </c>
      <c r="S125" s="87">
        <f t="shared" si="11"/>
        <v>0</v>
      </c>
    </row>
    <row r="126" spans="1:19" ht="15" customHeight="1">
      <c r="A126" s="82" t="s">
        <v>106</v>
      </c>
      <c r="B126" s="93">
        <v>123</v>
      </c>
      <c r="C126" s="117">
        <f t="shared" si="17"/>
        <v>18685.77070000219</v>
      </c>
      <c r="D126" s="117">
        <f>IF(G125=0,0,IF(G125&lt;BondCalculator!$B$13,G125+E126,BondCalculator!$B$13))</f>
        <v>13000</v>
      </c>
      <c r="E126" s="117">
        <f>C126*BondCalculator!$B$7/12</f>
        <v>155.7147558333516</v>
      </c>
      <c r="F126" s="117">
        <f t="shared" si="12"/>
        <v>12844.28524416665</v>
      </c>
      <c r="G126" s="117">
        <f t="shared" si="13"/>
        <v>5841.485455835542</v>
      </c>
      <c r="H126" s="94">
        <f t="shared" si="14"/>
        <v>0.005841485455835542</v>
      </c>
      <c r="J126" s="85">
        <f t="shared" si="15"/>
        <v>18685.77070000219</v>
      </c>
      <c r="K126" s="85">
        <f>IF(N125=0,0,IF(N125&lt;BondCalculator!$B$14+BondCalculator!$B$15,N125+L126,BondCalculator!$B$14+BondCalculator!$B$15))</f>
        <v>13000</v>
      </c>
      <c r="L126" s="85">
        <f>J126*BondCalculator!$B$7/12</f>
        <v>155.7147558333516</v>
      </c>
      <c r="M126" s="85">
        <f t="shared" si="16"/>
        <v>12844.28524416665</v>
      </c>
      <c r="N126" s="85">
        <f t="shared" si="9"/>
        <v>5841.485455835542</v>
      </c>
      <c r="P126" s="85">
        <f t="shared" si="10"/>
        <v>0</v>
      </c>
      <c r="Q126" s="86">
        <f>-PV(BondCalculator!$B$10/12,B126,0,1,0)</f>
        <v>0.6246282572990087</v>
      </c>
      <c r="S126" s="87">
        <f t="shared" si="11"/>
        <v>0</v>
      </c>
    </row>
    <row r="127" spans="1:19" ht="15" customHeight="1">
      <c r="A127" s="82" t="s">
        <v>106</v>
      </c>
      <c r="B127" s="93">
        <v>124</v>
      </c>
      <c r="C127" s="117">
        <f t="shared" si="17"/>
        <v>5841.485455835542</v>
      </c>
      <c r="D127" s="117">
        <f>IF(G126=0,0,IF(G126&lt;BondCalculator!$B$13,G126+E127,BondCalculator!$B$13))</f>
        <v>5890.164501300838</v>
      </c>
      <c r="E127" s="117">
        <f>C127*BondCalculator!$B$7/12</f>
        <v>48.679045465296184</v>
      </c>
      <c r="F127" s="117">
        <f t="shared" si="12"/>
        <v>5841.485455835542</v>
      </c>
      <c r="G127" s="117">
        <f t="shared" si="13"/>
        <v>0</v>
      </c>
      <c r="H127" s="94">
        <f t="shared" si="14"/>
        <v>0</v>
      </c>
      <c r="J127" s="85">
        <f t="shared" si="15"/>
        <v>5841.485455835542</v>
      </c>
      <c r="K127" s="85">
        <f>IF(N126=0,0,IF(N126&lt;BondCalculator!$B$14+BondCalculator!$B$15,N126+L127,BondCalculator!$B$14+BondCalculator!$B$15))</f>
        <v>5890.164501300838</v>
      </c>
      <c r="L127" s="85">
        <f>J127*BondCalculator!$B$7/12</f>
        <v>48.679045465296184</v>
      </c>
      <c r="M127" s="85">
        <f t="shared" si="16"/>
        <v>5841.485455835542</v>
      </c>
      <c r="N127" s="85">
        <f t="shared" si="9"/>
        <v>0</v>
      </c>
      <c r="P127" s="85">
        <f t="shared" si="10"/>
        <v>0</v>
      </c>
      <c r="Q127" s="86">
        <f>-PV(BondCalculator!$B$10/12,B127,0,1,0)</f>
        <v>0.6222429924944467</v>
      </c>
      <c r="S127" s="87">
        <f t="shared" si="11"/>
        <v>0</v>
      </c>
    </row>
    <row r="128" spans="1:19" ht="15" customHeight="1">
      <c r="A128" s="82" t="s">
        <v>106</v>
      </c>
      <c r="B128" s="93">
        <v>125</v>
      </c>
      <c r="C128" s="117">
        <f t="shared" si="17"/>
        <v>0</v>
      </c>
      <c r="D128" s="117">
        <f>IF(G127=0,0,IF(G127&lt;BondCalculator!$B$13,G127+E128,BondCalculator!$B$13))</f>
        <v>0</v>
      </c>
      <c r="E128" s="117">
        <f>C128*BondCalculator!$B$7/12</f>
        <v>0</v>
      </c>
      <c r="F128" s="117">
        <f t="shared" si="12"/>
        <v>0</v>
      </c>
      <c r="G128" s="117">
        <f t="shared" si="13"/>
        <v>0</v>
      </c>
      <c r="H128" s="94">
        <f t="shared" si="14"/>
        <v>0</v>
      </c>
      <c r="J128" s="85">
        <f t="shared" si="15"/>
        <v>0</v>
      </c>
      <c r="K128" s="85">
        <f>IF(N127=0,0,IF(N127&lt;BondCalculator!$B$14+BondCalculator!$B$15,N127+L128,BondCalculator!$B$14+BondCalculator!$B$15))</f>
        <v>0</v>
      </c>
      <c r="L128" s="85">
        <f>J128*BondCalculator!$B$7/12</f>
        <v>0</v>
      </c>
      <c r="M128" s="85">
        <f t="shared" si="16"/>
        <v>0</v>
      </c>
      <c r="N128" s="85">
        <f t="shared" si="9"/>
        <v>0</v>
      </c>
      <c r="P128" s="85">
        <f t="shared" si="10"/>
        <v>0</v>
      </c>
      <c r="Q128" s="86">
        <f>-PV(BondCalculator!$B$10/12,B128,0,1,0)</f>
        <v>0.6198668362886736</v>
      </c>
      <c r="S128" s="87">
        <f t="shared" si="11"/>
        <v>0</v>
      </c>
    </row>
    <row r="129" spans="1:19" ht="15" customHeight="1">
      <c r="A129" s="82" t="s">
        <v>106</v>
      </c>
      <c r="B129" s="93">
        <v>126</v>
      </c>
      <c r="C129" s="117">
        <f t="shared" si="17"/>
        <v>0</v>
      </c>
      <c r="D129" s="117">
        <f>IF(G128=0,0,IF(G128&lt;BondCalculator!$B$13,G128+E129,BondCalculator!$B$13))</f>
        <v>0</v>
      </c>
      <c r="E129" s="117">
        <f>C129*BondCalculator!$B$7/12</f>
        <v>0</v>
      </c>
      <c r="F129" s="117">
        <f t="shared" si="12"/>
        <v>0</v>
      </c>
      <c r="G129" s="117">
        <f t="shared" si="13"/>
        <v>0</v>
      </c>
      <c r="H129" s="94">
        <f t="shared" si="14"/>
        <v>0</v>
      </c>
      <c r="J129" s="85">
        <f t="shared" si="15"/>
        <v>0</v>
      </c>
      <c r="K129" s="85">
        <f>IF(N128=0,0,IF(N128&lt;BondCalculator!$B$14+BondCalculator!$B$15,N128+L129,BondCalculator!$B$14+BondCalculator!$B$15))</f>
        <v>0</v>
      </c>
      <c r="L129" s="85">
        <f>J129*BondCalculator!$B$7/12</f>
        <v>0</v>
      </c>
      <c r="M129" s="85">
        <f t="shared" si="16"/>
        <v>0</v>
      </c>
      <c r="N129" s="85">
        <f t="shared" si="9"/>
        <v>0</v>
      </c>
      <c r="P129" s="85">
        <f t="shared" si="10"/>
        <v>0</v>
      </c>
      <c r="Q129" s="86">
        <f>-PV(BondCalculator!$B$10/12,B129,0,1,0)</f>
        <v>0.6174997538987284</v>
      </c>
      <c r="S129" s="87">
        <f t="shared" si="11"/>
        <v>0</v>
      </c>
    </row>
    <row r="130" spans="1:19" ht="15" customHeight="1">
      <c r="A130" s="82" t="s">
        <v>106</v>
      </c>
      <c r="B130" s="93">
        <v>127</v>
      </c>
      <c r="C130" s="117">
        <f t="shared" si="17"/>
        <v>0</v>
      </c>
      <c r="D130" s="117">
        <f>IF(G129=0,0,IF(G129&lt;BondCalculator!$B$13,G129+E130,BondCalculator!$B$13))</f>
        <v>0</v>
      </c>
      <c r="E130" s="117">
        <f>C130*BondCalculator!$B$7/12</f>
        <v>0</v>
      </c>
      <c r="F130" s="117">
        <f t="shared" si="12"/>
        <v>0</v>
      </c>
      <c r="G130" s="117">
        <f t="shared" si="13"/>
        <v>0</v>
      </c>
      <c r="H130" s="94">
        <f t="shared" si="14"/>
        <v>0</v>
      </c>
      <c r="J130" s="85">
        <f t="shared" si="15"/>
        <v>0</v>
      </c>
      <c r="K130" s="85">
        <f>IF(N129=0,0,IF(N129&lt;BondCalculator!$B$14+BondCalculator!$B$15,N129+L130,BondCalculator!$B$14+BondCalculator!$B$15))</f>
        <v>0</v>
      </c>
      <c r="L130" s="85">
        <f>J130*BondCalculator!$B$7/12</f>
        <v>0</v>
      </c>
      <c r="M130" s="85">
        <f t="shared" si="16"/>
        <v>0</v>
      </c>
      <c r="N130" s="85">
        <f t="shared" si="9"/>
        <v>0</v>
      </c>
      <c r="P130" s="85">
        <f t="shared" si="10"/>
        <v>0</v>
      </c>
      <c r="Q130" s="86">
        <f>-PV(BondCalculator!$B$10/12,B130,0,1,0)</f>
        <v>0.6151417106744761</v>
      </c>
      <c r="S130" s="87">
        <f t="shared" si="11"/>
        <v>0</v>
      </c>
    </row>
    <row r="131" spans="1:19" ht="15" customHeight="1">
      <c r="A131" s="82" t="s">
        <v>106</v>
      </c>
      <c r="B131" s="93">
        <v>128</v>
      </c>
      <c r="C131" s="117">
        <f t="shared" si="17"/>
        <v>0</v>
      </c>
      <c r="D131" s="117">
        <f>IF(G130=0,0,IF(G130&lt;BondCalculator!$B$13,G130+E131,BondCalculator!$B$13))</f>
        <v>0</v>
      </c>
      <c r="E131" s="117">
        <f>C131*BondCalculator!$B$7/12</f>
        <v>0</v>
      </c>
      <c r="F131" s="117">
        <f t="shared" si="12"/>
        <v>0</v>
      </c>
      <c r="G131" s="117">
        <f t="shared" si="13"/>
        <v>0</v>
      </c>
      <c r="H131" s="94">
        <f t="shared" si="14"/>
        <v>0</v>
      </c>
      <c r="J131" s="85">
        <f t="shared" si="15"/>
        <v>0</v>
      </c>
      <c r="K131" s="85">
        <f>IF(N130=0,0,IF(N130&lt;BondCalculator!$B$14+BondCalculator!$B$15,N130+L131,BondCalculator!$B$14+BondCalculator!$B$15))</f>
        <v>0</v>
      </c>
      <c r="L131" s="85">
        <f>J131*BondCalculator!$B$7/12</f>
        <v>0</v>
      </c>
      <c r="M131" s="85">
        <f t="shared" si="16"/>
        <v>0</v>
      </c>
      <c r="N131" s="85">
        <f t="shared" si="9"/>
        <v>0</v>
      </c>
      <c r="P131" s="85">
        <f t="shared" si="10"/>
        <v>0</v>
      </c>
      <c r="Q131" s="86">
        <f>-PV(BondCalculator!$B$10/12,B131,0,1,0)</f>
        <v>0.6127926720981003</v>
      </c>
      <c r="S131" s="87">
        <f t="shared" si="11"/>
        <v>0</v>
      </c>
    </row>
    <row r="132" spans="1:19" ht="15" customHeight="1">
      <c r="A132" s="82" t="s">
        <v>106</v>
      </c>
      <c r="B132" s="93">
        <v>129</v>
      </c>
      <c r="C132" s="117">
        <f t="shared" si="17"/>
        <v>0</v>
      </c>
      <c r="D132" s="117">
        <f>IF(G131=0,0,IF(G131&lt;BondCalculator!$B$13,G131+E132,BondCalculator!$B$13))</f>
        <v>0</v>
      </c>
      <c r="E132" s="117">
        <f>C132*BondCalculator!$B$7/12</f>
        <v>0</v>
      </c>
      <c r="F132" s="117">
        <f t="shared" si="12"/>
        <v>0</v>
      </c>
      <c r="G132" s="117">
        <f t="shared" si="13"/>
        <v>0</v>
      </c>
      <c r="H132" s="94">
        <f t="shared" si="14"/>
        <v>0</v>
      </c>
      <c r="J132" s="85">
        <f t="shared" si="15"/>
        <v>0</v>
      </c>
      <c r="K132" s="85">
        <f>IF(N131=0,0,IF(N131&lt;BondCalculator!$B$14+BondCalculator!$B$15,N131+L132,BondCalculator!$B$14+BondCalculator!$B$15))</f>
        <v>0</v>
      </c>
      <c r="L132" s="85">
        <f>J132*BondCalculator!$B$7/12</f>
        <v>0</v>
      </c>
      <c r="M132" s="85">
        <f t="shared" si="16"/>
        <v>0</v>
      </c>
      <c r="N132" s="85">
        <f aca="true" t="shared" si="18" ref="N132:N195">J132-M132</f>
        <v>0</v>
      </c>
      <c r="P132" s="85">
        <f aca="true" t="shared" si="19" ref="P132:P195">E132-L132</f>
        <v>0</v>
      </c>
      <c r="Q132" s="86">
        <f>-PV(BondCalculator!$B$10/12,B132,0,1,0)</f>
        <v>0.6104526037835964</v>
      </c>
      <c r="S132" s="87">
        <f aca="true" t="shared" si="20" ref="S132:S195">P132*Q132</f>
        <v>0</v>
      </c>
    </row>
    <row r="133" spans="1:19" ht="15" customHeight="1">
      <c r="A133" s="82" t="s">
        <v>106</v>
      </c>
      <c r="B133" s="93">
        <v>130</v>
      </c>
      <c r="C133" s="117">
        <f t="shared" si="17"/>
        <v>0</v>
      </c>
      <c r="D133" s="117">
        <f>IF(G132=0,0,IF(G132&lt;BondCalculator!$B$13,G132+E133,BondCalculator!$B$13))</f>
        <v>0</v>
      </c>
      <c r="E133" s="117">
        <f>C133*BondCalculator!$B$7/12</f>
        <v>0</v>
      </c>
      <c r="F133" s="117">
        <f aca="true" t="shared" si="21" ref="F133:F196">D133-E133</f>
        <v>0</v>
      </c>
      <c r="G133" s="117">
        <f aca="true" t="shared" si="22" ref="G133:G196">IF(ROUND(C133-F133,0)=0,0,C133-F133)</f>
        <v>0</v>
      </c>
      <c r="H133" s="94">
        <f aca="true" t="shared" si="23" ref="H133:H196">G133/$C$4</f>
        <v>0</v>
      </c>
      <c r="J133" s="85">
        <f aca="true" t="shared" si="24" ref="J133:J196">IF(ROUND(N132,0)&gt;0,N132,0)</f>
        <v>0</v>
      </c>
      <c r="K133" s="85">
        <f>IF(N132=0,0,IF(N132&lt;BondCalculator!$B$14+BondCalculator!$B$15,N132+L133,BondCalculator!$B$14+BondCalculator!$B$15))</f>
        <v>0</v>
      </c>
      <c r="L133" s="85">
        <f>J133*BondCalculator!$B$7/12</f>
        <v>0</v>
      </c>
      <c r="M133" s="85">
        <f aca="true" t="shared" si="25" ref="M133:M196">IF(K133-L133&gt;N132,N132,K133-L133)</f>
        <v>0</v>
      </c>
      <c r="N133" s="85">
        <f t="shared" si="18"/>
        <v>0</v>
      </c>
      <c r="P133" s="85">
        <f t="shared" si="19"/>
        <v>0</v>
      </c>
      <c r="Q133" s="86">
        <f>-PV(BondCalculator!$B$10/12,B133,0,1,0)</f>
        <v>0.6081214714762708</v>
      </c>
      <c r="S133" s="87">
        <f t="shared" si="20"/>
        <v>0</v>
      </c>
    </row>
    <row r="134" spans="1:19" ht="15" customHeight="1">
      <c r="A134" s="82" t="s">
        <v>106</v>
      </c>
      <c r="B134" s="93">
        <v>131</v>
      </c>
      <c r="C134" s="117">
        <f aca="true" t="shared" si="26" ref="C134:C197">IF(ROUND(G133,0)=0,0,G133)</f>
        <v>0</v>
      </c>
      <c r="D134" s="117">
        <f>IF(G133=0,0,IF(G133&lt;BondCalculator!$B$13,G133+E134,BondCalculator!$B$13))</f>
        <v>0</v>
      </c>
      <c r="E134" s="117">
        <f>C134*BondCalculator!$B$7/12</f>
        <v>0</v>
      </c>
      <c r="F134" s="117">
        <f t="shared" si="21"/>
        <v>0</v>
      </c>
      <c r="G134" s="117">
        <f t="shared" si="22"/>
        <v>0</v>
      </c>
      <c r="H134" s="94">
        <f t="shared" si="23"/>
        <v>0</v>
      </c>
      <c r="J134" s="85">
        <f t="shared" si="24"/>
        <v>0</v>
      </c>
      <c r="K134" s="85">
        <f>IF(N133=0,0,IF(N133&lt;BondCalculator!$B$14+BondCalculator!$B$15,N133+L134,BondCalculator!$B$14+BondCalculator!$B$15))</f>
        <v>0</v>
      </c>
      <c r="L134" s="85">
        <f>J134*BondCalculator!$B$7/12</f>
        <v>0</v>
      </c>
      <c r="M134" s="85">
        <f t="shared" si="25"/>
        <v>0</v>
      </c>
      <c r="N134" s="85">
        <f t="shared" si="18"/>
        <v>0</v>
      </c>
      <c r="P134" s="85">
        <f t="shared" si="19"/>
        <v>0</v>
      </c>
      <c r="Q134" s="86">
        <f>-PV(BondCalculator!$B$10/12,B134,0,1,0)</f>
        <v>0.6057992410522371</v>
      </c>
      <c r="S134" s="87">
        <f t="shared" si="20"/>
        <v>0</v>
      </c>
    </row>
    <row r="135" spans="1:19" ht="15" customHeight="1">
      <c r="A135" s="82" t="s">
        <v>106</v>
      </c>
      <c r="B135" s="93">
        <v>132</v>
      </c>
      <c r="C135" s="117">
        <f t="shared" si="26"/>
        <v>0</v>
      </c>
      <c r="D135" s="117">
        <f>IF(G134=0,0,IF(G134&lt;BondCalculator!$B$13,G134+E135,BondCalculator!$B$13))</f>
        <v>0</v>
      </c>
      <c r="E135" s="117">
        <f>C135*BondCalculator!$B$7/12</f>
        <v>0</v>
      </c>
      <c r="F135" s="117">
        <f t="shared" si="21"/>
        <v>0</v>
      </c>
      <c r="G135" s="117">
        <f t="shared" si="22"/>
        <v>0</v>
      </c>
      <c r="H135" s="94">
        <f t="shared" si="23"/>
        <v>0</v>
      </c>
      <c r="J135" s="85">
        <f t="shared" si="24"/>
        <v>0</v>
      </c>
      <c r="K135" s="85">
        <f>IF(N134=0,0,IF(N134&lt;BondCalculator!$B$14+BondCalculator!$B$15,N134+L135,BondCalculator!$B$14+BondCalculator!$B$15))</f>
        <v>0</v>
      </c>
      <c r="L135" s="85">
        <f>J135*BondCalculator!$B$7/12</f>
        <v>0</v>
      </c>
      <c r="M135" s="85">
        <f t="shared" si="25"/>
        <v>0</v>
      </c>
      <c r="N135" s="85">
        <f t="shared" si="18"/>
        <v>0</v>
      </c>
      <c r="P135" s="85">
        <f t="shared" si="19"/>
        <v>0</v>
      </c>
      <c r="Q135" s="86">
        <f>-PV(BondCalculator!$B$10/12,B135,0,1,0)</f>
        <v>0.6034858785179186</v>
      </c>
      <c r="S135" s="87">
        <f t="shared" si="20"/>
        <v>0</v>
      </c>
    </row>
    <row r="136" spans="1:19" ht="15" customHeight="1">
      <c r="A136" s="82" t="s">
        <v>107</v>
      </c>
      <c r="B136" s="93">
        <v>133</v>
      </c>
      <c r="C136" s="117">
        <f t="shared" si="26"/>
        <v>0</v>
      </c>
      <c r="D136" s="117">
        <f>IF(G135=0,0,IF(G135&lt;BondCalculator!$B$13,G135+E136,BondCalculator!$B$13))</f>
        <v>0</v>
      </c>
      <c r="E136" s="117">
        <f>C136*BondCalculator!$B$7/12</f>
        <v>0</v>
      </c>
      <c r="F136" s="117">
        <f t="shared" si="21"/>
        <v>0</v>
      </c>
      <c r="G136" s="117">
        <f t="shared" si="22"/>
        <v>0</v>
      </c>
      <c r="H136" s="94">
        <f t="shared" si="23"/>
        <v>0</v>
      </c>
      <c r="J136" s="85">
        <f t="shared" si="24"/>
        <v>0</v>
      </c>
      <c r="K136" s="85">
        <f>IF(N135=0,0,IF(N135&lt;BondCalculator!$B$14+BondCalculator!$B$15,N135+L136,BondCalculator!$B$14+BondCalculator!$B$15))</f>
        <v>0</v>
      </c>
      <c r="L136" s="85">
        <f>J136*BondCalculator!$B$7/12</f>
        <v>0</v>
      </c>
      <c r="M136" s="85">
        <f t="shared" si="25"/>
        <v>0</v>
      </c>
      <c r="N136" s="85">
        <f t="shared" si="18"/>
        <v>0</v>
      </c>
      <c r="P136" s="85">
        <f t="shared" si="19"/>
        <v>0</v>
      </c>
      <c r="Q136" s="86">
        <f>-PV(BondCalculator!$B$10/12,B136,0,1,0)</f>
        <v>0.6011813500095486</v>
      </c>
      <c r="S136" s="87">
        <f t="shared" si="20"/>
        <v>0</v>
      </c>
    </row>
    <row r="137" spans="1:19" ht="15" customHeight="1">
      <c r="A137" s="82" t="s">
        <v>107</v>
      </c>
      <c r="B137" s="93">
        <v>134</v>
      </c>
      <c r="C137" s="117">
        <f t="shared" si="26"/>
        <v>0</v>
      </c>
      <c r="D137" s="117">
        <f>IF(G136=0,0,IF(G136&lt;BondCalculator!$B$13,G136+E137,BondCalculator!$B$13))</f>
        <v>0</v>
      </c>
      <c r="E137" s="117">
        <f>C137*BondCalculator!$B$7/12</f>
        <v>0</v>
      </c>
      <c r="F137" s="117">
        <f t="shared" si="21"/>
        <v>0</v>
      </c>
      <c r="G137" s="117">
        <f t="shared" si="22"/>
        <v>0</v>
      </c>
      <c r="H137" s="94">
        <f t="shared" si="23"/>
        <v>0</v>
      </c>
      <c r="J137" s="85">
        <f t="shared" si="24"/>
        <v>0</v>
      </c>
      <c r="K137" s="85">
        <f>IF(N136=0,0,IF(N136&lt;BondCalculator!$B$14+BondCalculator!$B$15,N136+L137,BondCalculator!$B$14+BondCalculator!$B$15))</f>
        <v>0</v>
      </c>
      <c r="L137" s="85">
        <f>J137*BondCalculator!$B$7/12</f>
        <v>0</v>
      </c>
      <c r="M137" s="85">
        <f t="shared" si="25"/>
        <v>0</v>
      </c>
      <c r="N137" s="85">
        <f t="shared" si="18"/>
        <v>0</v>
      </c>
      <c r="P137" s="85">
        <f t="shared" si="19"/>
        <v>0</v>
      </c>
      <c r="Q137" s="86">
        <f>-PV(BondCalculator!$B$10/12,B137,0,1,0)</f>
        <v>0.5988856217926767</v>
      </c>
      <c r="S137" s="87">
        <f t="shared" si="20"/>
        <v>0</v>
      </c>
    </row>
    <row r="138" spans="1:19" ht="15" customHeight="1">
      <c r="A138" s="82" t="s">
        <v>107</v>
      </c>
      <c r="B138" s="93">
        <v>135</v>
      </c>
      <c r="C138" s="117">
        <f t="shared" si="26"/>
        <v>0</v>
      </c>
      <c r="D138" s="117">
        <f>IF(G137=0,0,IF(G137&lt;BondCalculator!$B$13,G137+E138,BondCalculator!$B$13))</f>
        <v>0</v>
      </c>
      <c r="E138" s="117">
        <f>C138*BondCalculator!$B$7/12</f>
        <v>0</v>
      </c>
      <c r="F138" s="117">
        <f t="shared" si="21"/>
        <v>0</v>
      </c>
      <c r="G138" s="117">
        <f t="shared" si="22"/>
        <v>0</v>
      </c>
      <c r="H138" s="94">
        <f t="shared" si="23"/>
        <v>0</v>
      </c>
      <c r="J138" s="85">
        <f t="shared" si="24"/>
        <v>0</v>
      </c>
      <c r="K138" s="85">
        <f>IF(N137=0,0,IF(N137&lt;BondCalculator!$B$14+BondCalculator!$B$15,N137+L138,BondCalculator!$B$14+BondCalculator!$B$15))</f>
        <v>0</v>
      </c>
      <c r="L138" s="85">
        <f>J138*BondCalculator!$B$7/12</f>
        <v>0</v>
      </c>
      <c r="M138" s="85">
        <f t="shared" si="25"/>
        <v>0</v>
      </c>
      <c r="N138" s="85">
        <f t="shared" si="18"/>
        <v>0</v>
      </c>
      <c r="P138" s="85">
        <f t="shared" si="19"/>
        <v>0</v>
      </c>
      <c r="Q138" s="86">
        <f>-PV(BondCalculator!$B$10/12,B138,0,1,0)</f>
        <v>0.5965986602616736</v>
      </c>
      <c r="S138" s="87">
        <f t="shared" si="20"/>
        <v>0</v>
      </c>
    </row>
    <row r="139" spans="1:19" ht="15" customHeight="1">
      <c r="A139" s="82" t="s">
        <v>107</v>
      </c>
      <c r="B139" s="93">
        <v>136</v>
      </c>
      <c r="C139" s="117">
        <f t="shared" si="26"/>
        <v>0</v>
      </c>
      <c r="D139" s="117">
        <f>IF(G138=0,0,IF(G138&lt;BondCalculator!$B$13,G138+E139,BondCalculator!$B$13))</f>
        <v>0</v>
      </c>
      <c r="E139" s="117">
        <f>C139*BondCalculator!$B$7/12</f>
        <v>0</v>
      </c>
      <c r="F139" s="117">
        <f t="shared" si="21"/>
        <v>0</v>
      </c>
      <c r="G139" s="117">
        <f t="shared" si="22"/>
        <v>0</v>
      </c>
      <c r="H139" s="94">
        <f t="shared" si="23"/>
        <v>0</v>
      </c>
      <c r="J139" s="85">
        <f t="shared" si="24"/>
        <v>0</v>
      </c>
      <c r="K139" s="85">
        <f>IF(N138=0,0,IF(N138&lt;BondCalculator!$B$14+BondCalculator!$B$15,N138+L139,BondCalculator!$B$14+BondCalculator!$B$15))</f>
        <v>0</v>
      </c>
      <c r="L139" s="85">
        <f>J139*BondCalculator!$B$7/12</f>
        <v>0</v>
      </c>
      <c r="M139" s="85">
        <f t="shared" si="25"/>
        <v>0</v>
      </c>
      <c r="N139" s="85">
        <f t="shared" si="18"/>
        <v>0</v>
      </c>
      <c r="P139" s="85">
        <f t="shared" si="19"/>
        <v>0</v>
      </c>
      <c r="Q139" s="86">
        <f>-PV(BondCalculator!$B$10/12,B139,0,1,0)</f>
        <v>0.5943204319392399</v>
      </c>
      <c r="S139" s="87">
        <f t="shared" si="20"/>
        <v>0</v>
      </c>
    </row>
    <row r="140" spans="1:19" ht="15" customHeight="1">
      <c r="A140" s="82" t="s">
        <v>107</v>
      </c>
      <c r="B140" s="93">
        <v>137</v>
      </c>
      <c r="C140" s="117">
        <f t="shared" si="26"/>
        <v>0</v>
      </c>
      <c r="D140" s="117">
        <f>IF(G139=0,0,IF(G139&lt;BondCalculator!$B$13,G139+E140,BondCalculator!$B$13))</f>
        <v>0</v>
      </c>
      <c r="E140" s="117">
        <f>C140*BondCalculator!$B$7/12</f>
        <v>0</v>
      </c>
      <c r="F140" s="117">
        <f t="shared" si="21"/>
        <v>0</v>
      </c>
      <c r="G140" s="117">
        <f t="shared" si="22"/>
        <v>0</v>
      </c>
      <c r="H140" s="94">
        <f t="shared" si="23"/>
        <v>0</v>
      </c>
      <c r="J140" s="85">
        <f t="shared" si="24"/>
        <v>0</v>
      </c>
      <c r="K140" s="85">
        <f>IF(N139=0,0,IF(N139&lt;BondCalculator!$B$14+BondCalculator!$B$15,N139+L140,BondCalculator!$B$14+BondCalculator!$B$15))</f>
        <v>0</v>
      </c>
      <c r="L140" s="85">
        <f>J140*BondCalculator!$B$7/12</f>
        <v>0</v>
      </c>
      <c r="M140" s="85">
        <f t="shared" si="25"/>
        <v>0</v>
      </c>
      <c r="N140" s="85">
        <f t="shared" si="18"/>
        <v>0</v>
      </c>
      <c r="P140" s="85">
        <f t="shared" si="19"/>
        <v>0</v>
      </c>
      <c r="Q140" s="86">
        <f>-PV(BondCalculator!$B$10/12,B140,0,1,0)</f>
        <v>0.5920509034759155</v>
      </c>
      <c r="S140" s="87">
        <f t="shared" si="20"/>
        <v>0</v>
      </c>
    </row>
    <row r="141" spans="1:19" ht="15" customHeight="1">
      <c r="A141" s="82" t="s">
        <v>107</v>
      </c>
      <c r="B141" s="93">
        <v>138</v>
      </c>
      <c r="C141" s="117">
        <f t="shared" si="26"/>
        <v>0</v>
      </c>
      <c r="D141" s="117">
        <f>IF(G140=0,0,IF(G140&lt;BondCalculator!$B$13,G140+E141,BondCalculator!$B$13))</f>
        <v>0</v>
      </c>
      <c r="E141" s="117">
        <f>C141*BondCalculator!$B$7/12</f>
        <v>0</v>
      </c>
      <c r="F141" s="117">
        <f t="shared" si="21"/>
        <v>0</v>
      </c>
      <c r="G141" s="117">
        <f t="shared" si="22"/>
        <v>0</v>
      </c>
      <c r="H141" s="94">
        <f t="shared" si="23"/>
        <v>0</v>
      </c>
      <c r="J141" s="85">
        <f t="shared" si="24"/>
        <v>0</v>
      </c>
      <c r="K141" s="85">
        <f>IF(N140=0,0,IF(N140&lt;BondCalculator!$B$14+BondCalculator!$B$15,N140+L141,BondCalculator!$B$14+BondCalculator!$B$15))</f>
        <v>0</v>
      </c>
      <c r="L141" s="85">
        <f>J141*BondCalculator!$B$7/12</f>
        <v>0</v>
      </c>
      <c r="M141" s="85">
        <f t="shared" si="25"/>
        <v>0</v>
      </c>
      <c r="N141" s="85">
        <f t="shared" si="18"/>
        <v>0</v>
      </c>
      <c r="P141" s="85">
        <f t="shared" si="19"/>
        <v>0</v>
      </c>
      <c r="Q141" s="86">
        <f>-PV(BondCalculator!$B$10/12,B141,0,1,0)</f>
        <v>0.589790041649592</v>
      </c>
      <c r="S141" s="87">
        <f t="shared" si="20"/>
        <v>0</v>
      </c>
    </row>
    <row r="142" spans="1:19" ht="15" customHeight="1">
      <c r="A142" s="82" t="s">
        <v>107</v>
      </c>
      <c r="B142" s="93">
        <v>139</v>
      </c>
      <c r="C142" s="117">
        <f t="shared" si="26"/>
        <v>0</v>
      </c>
      <c r="D142" s="117">
        <f>IF(G141=0,0,IF(G141&lt;BondCalculator!$B$13,G141+E142,BondCalculator!$B$13))</f>
        <v>0</v>
      </c>
      <c r="E142" s="117">
        <f>C142*BondCalculator!$B$7/12</f>
        <v>0</v>
      </c>
      <c r="F142" s="117">
        <f t="shared" si="21"/>
        <v>0</v>
      </c>
      <c r="G142" s="117">
        <f t="shared" si="22"/>
        <v>0</v>
      </c>
      <c r="H142" s="94">
        <f t="shared" si="23"/>
        <v>0</v>
      </c>
      <c r="J142" s="85">
        <f t="shared" si="24"/>
        <v>0</v>
      </c>
      <c r="K142" s="85">
        <f>IF(N141=0,0,IF(N141&lt;BondCalculator!$B$14+BondCalculator!$B$15,N141+L142,BondCalculator!$B$14+BondCalculator!$B$15))</f>
        <v>0</v>
      </c>
      <c r="L142" s="85">
        <f>J142*BondCalculator!$B$7/12</f>
        <v>0</v>
      </c>
      <c r="M142" s="85">
        <f t="shared" si="25"/>
        <v>0</v>
      </c>
      <c r="N142" s="85">
        <f t="shared" si="18"/>
        <v>0</v>
      </c>
      <c r="P142" s="85">
        <f t="shared" si="19"/>
        <v>0</v>
      </c>
      <c r="Q142" s="86">
        <f>-PV(BondCalculator!$B$10/12,B142,0,1,0)</f>
        <v>0.5875378133650262</v>
      </c>
      <c r="S142" s="87">
        <f t="shared" si="20"/>
        <v>0</v>
      </c>
    </row>
    <row r="143" spans="1:19" ht="15" customHeight="1">
      <c r="A143" s="82" t="s">
        <v>107</v>
      </c>
      <c r="B143" s="93">
        <v>140</v>
      </c>
      <c r="C143" s="117">
        <f t="shared" si="26"/>
        <v>0</v>
      </c>
      <c r="D143" s="117">
        <f>IF(G142=0,0,IF(G142&lt;BondCalculator!$B$13,G142+E143,BondCalculator!$B$13))</f>
        <v>0</v>
      </c>
      <c r="E143" s="117">
        <f>C143*BondCalculator!$B$7/12</f>
        <v>0</v>
      </c>
      <c r="F143" s="117">
        <f t="shared" si="21"/>
        <v>0</v>
      </c>
      <c r="G143" s="117">
        <f t="shared" si="22"/>
        <v>0</v>
      </c>
      <c r="H143" s="94">
        <f t="shared" si="23"/>
        <v>0</v>
      </c>
      <c r="J143" s="85">
        <f t="shared" si="24"/>
        <v>0</v>
      </c>
      <c r="K143" s="85">
        <f>IF(N142=0,0,IF(N142&lt;BondCalculator!$B$14+BondCalculator!$B$15,N142+L143,BondCalculator!$B$14+BondCalculator!$B$15))</f>
        <v>0</v>
      </c>
      <c r="L143" s="85">
        <f>J143*BondCalculator!$B$7/12</f>
        <v>0</v>
      </c>
      <c r="M143" s="85">
        <f t="shared" si="25"/>
        <v>0</v>
      </c>
      <c r="N143" s="85">
        <f t="shared" si="18"/>
        <v>0</v>
      </c>
      <c r="P143" s="85">
        <f t="shared" si="19"/>
        <v>0</v>
      </c>
      <c r="Q143" s="86">
        <f>-PV(BondCalculator!$B$10/12,B143,0,1,0)</f>
        <v>0.5852941856533551</v>
      </c>
      <c r="S143" s="87">
        <f t="shared" si="20"/>
        <v>0</v>
      </c>
    </row>
    <row r="144" spans="1:19" ht="15" customHeight="1">
      <c r="A144" s="82" t="s">
        <v>107</v>
      </c>
      <c r="B144" s="93">
        <v>141</v>
      </c>
      <c r="C144" s="117">
        <f t="shared" si="26"/>
        <v>0</v>
      </c>
      <c r="D144" s="117">
        <f>IF(G143=0,0,IF(G143&lt;BondCalculator!$B$13,G143+E144,BondCalculator!$B$13))</f>
        <v>0</v>
      </c>
      <c r="E144" s="117">
        <f>C144*BondCalculator!$B$7/12</f>
        <v>0</v>
      </c>
      <c r="F144" s="117">
        <f t="shared" si="21"/>
        <v>0</v>
      </c>
      <c r="G144" s="117">
        <f t="shared" si="22"/>
        <v>0</v>
      </c>
      <c r="H144" s="94">
        <f t="shared" si="23"/>
        <v>0</v>
      </c>
      <c r="J144" s="85">
        <f t="shared" si="24"/>
        <v>0</v>
      </c>
      <c r="K144" s="85">
        <f>IF(N143=0,0,IF(N143&lt;BondCalculator!$B$14+BondCalculator!$B$15,N143+L144,BondCalculator!$B$14+BondCalculator!$B$15))</f>
        <v>0</v>
      </c>
      <c r="L144" s="85">
        <f>J144*BondCalculator!$B$7/12</f>
        <v>0</v>
      </c>
      <c r="M144" s="85">
        <f t="shared" si="25"/>
        <v>0</v>
      </c>
      <c r="N144" s="85">
        <f t="shared" si="18"/>
        <v>0</v>
      </c>
      <c r="P144" s="85">
        <f t="shared" si="19"/>
        <v>0</v>
      </c>
      <c r="Q144" s="86">
        <f>-PV(BondCalculator!$B$10/12,B144,0,1,0)</f>
        <v>0.5830591256716139</v>
      </c>
      <c r="S144" s="87">
        <f t="shared" si="20"/>
        <v>0</v>
      </c>
    </row>
    <row r="145" spans="1:19" ht="15" customHeight="1">
      <c r="A145" s="82" t="s">
        <v>107</v>
      </c>
      <c r="B145" s="93">
        <v>142</v>
      </c>
      <c r="C145" s="117">
        <f t="shared" si="26"/>
        <v>0</v>
      </c>
      <c r="D145" s="117">
        <f>IF(G144=0,0,IF(G144&lt;BondCalculator!$B$13,G144+E145,BondCalculator!$B$13))</f>
        <v>0</v>
      </c>
      <c r="E145" s="117">
        <f>C145*BondCalculator!$B$7/12</f>
        <v>0</v>
      </c>
      <c r="F145" s="117">
        <f t="shared" si="21"/>
        <v>0</v>
      </c>
      <c r="G145" s="117">
        <f t="shared" si="22"/>
        <v>0</v>
      </c>
      <c r="H145" s="94">
        <f t="shared" si="23"/>
        <v>0</v>
      </c>
      <c r="J145" s="85">
        <f t="shared" si="24"/>
        <v>0</v>
      </c>
      <c r="K145" s="85">
        <f>IF(N144=0,0,IF(N144&lt;BondCalculator!$B$14+BondCalculator!$B$15,N144+L145,BondCalculator!$B$14+BondCalculator!$B$15))</f>
        <v>0</v>
      </c>
      <c r="L145" s="85">
        <f>J145*BondCalculator!$B$7/12</f>
        <v>0</v>
      </c>
      <c r="M145" s="85">
        <f t="shared" si="25"/>
        <v>0</v>
      </c>
      <c r="N145" s="85">
        <f t="shared" si="18"/>
        <v>0</v>
      </c>
      <c r="P145" s="85">
        <f t="shared" si="19"/>
        <v>0</v>
      </c>
      <c r="Q145" s="86">
        <f>-PV(BondCalculator!$B$10/12,B145,0,1,0)</f>
        <v>0.5808326007022552</v>
      </c>
      <c r="S145" s="87">
        <f t="shared" si="20"/>
        <v>0</v>
      </c>
    </row>
    <row r="146" spans="1:19" ht="15" customHeight="1">
      <c r="A146" s="82" t="s">
        <v>107</v>
      </c>
      <c r="B146" s="93">
        <v>143</v>
      </c>
      <c r="C146" s="117">
        <f t="shared" si="26"/>
        <v>0</v>
      </c>
      <c r="D146" s="117">
        <f>IF(G145=0,0,IF(G145&lt;BondCalculator!$B$13,G145+E146,BondCalculator!$B$13))</f>
        <v>0</v>
      </c>
      <c r="E146" s="117">
        <f>C146*BondCalculator!$B$7/12</f>
        <v>0</v>
      </c>
      <c r="F146" s="117">
        <f t="shared" si="21"/>
        <v>0</v>
      </c>
      <c r="G146" s="117">
        <f t="shared" si="22"/>
        <v>0</v>
      </c>
      <c r="H146" s="94">
        <f t="shared" si="23"/>
        <v>0</v>
      </c>
      <c r="J146" s="85">
        <f t="shared" si="24"/>
        <v>0</v>
      </c>
      <c r="K146" s="85">
        <f>IF(N145=0,0,IF(N145&lt;BondCalculator!$B$14+BondCalculator!$B$15,N145+L146,BondCalculator!$B$14+BondCalculator!$B$15))</f>
        <v>0</v>
      </c>
      <c r="L146" s="85">
        <f>J146*BondCalculator!$B$7/12</f>
        <v>0</v>
      </c>
      <c r="M146" s="85">
        <f t="shared" si="25"/>
        <v>0</v>
      </c>
      <c r="N146" s="85">
        <f t="shared" si="18"/>
        <v>0</v>
      </c>
      <c r="P146" s="85">
        <f t="shared" si="19"/>
        <v>0</v>
      </c>
      <c r="Q146" s="86">
        <f>-PV(BondCalculator!$B$10/12,B146,0,1,0)</f>
        <v>0.5786145781526699</v>
      </c>
      <c r="S146" s="87">
        <f t="shared" si="20"/>
        <v>0</v>
      </c>
    </row>
    <row r="147" spans="1:19" ht="15" customHeight="1">
      <c r="A147" s="82" t="s">
        <v>107</v>
      </c>
      <c r="B147" s="93">
        <v>144</v>
      </c>
      <c r="C147" s="117">
        <f t="shared" si="26"/>
        <v>0</v>
      </c>
      <c r="D147" s="117">
        <f>IF(G146=0,0,IF(G146&lt;BondCalculator!$B$13,G146+E147,BondCalculator!$B$13))</f>
        <v>0</v>
      </c>
      <c r="E147" s="117">
        <f>C147*BondCalculator!$B$7/12</f>
        <v>0</v>
      </c>
      <c r="F147" s="117">
        <f t="shared" si="21"/>
        <v>0</v>
      </c>
      <c r="G147" s="117">
        <f t="shared" si="22"/>
        <v>0</v>
      </c>
      <c r="H147" s="94">
        <f t="shared" si="23"/>
        <v>0</v>
      </c>
      <c r="J147" s="85">
        <f t="shared" si="24"/>
        <v>0</v>
      </c>
      <c r="K147" s="85">
        <f>IF(N146=0,0,IF(N146&lt;BondCalculator!$B$14+BondCalculator!$B$15,N146+L147,BondCalculator!$B$14+BondCalculator!$B$15))</f>
        <v>0</v>
      </c>
      <c r="L147" s="85">
        <f>J147*BondCalculator!$B$7/12</f>
        <v>0</v>
      </c>
      <c r="M147" s="85">
        <f t="shared" si="25"/>
        <v>0</v>
      </c>
      <c r="N147" s="85">
        <f t="shared" si="18"/>
        <v>0</v>
      </c>
      <c r="P147" s="85">
        <f t="shared" si="19"/>
        <v>0</v>
      </c>
      <c r="Q147" s="86">
        <f>-PV(BondCalculator!$B$10/12,B147,0,1,0)</f>
        <v>0.5764050255547103</v>
      </c>
      <c r="S147" s="87">
        <f t="shared" si="20"/>
        <v>0</v>
      </c>
    </row>
    <row r="148" spans="1:19" ht="15" customHeight="1">
      <c r="A148" s="82" t="s">
        <v>108</v>
      </c>
      <c r="B148" s="93">
        <v>145</v>
      </c>
      <c r="C148" s="117">
        <f t="shared" si="26"/>
        <v>0</v>
      </c>
      <c r="D148" s="117">
        <f>IF(G147=0,0,IF(G147&lt;BondCalculator!$B$13,G147+E148,BondCalculator!$B$13))</f>
        <v>0</v>
      </c>
      <c r="E148" s="117">
        <f>C148*BondCalculator!$B$7/12</f>
        <v>0</v>
      </c>
      <c r="F148" s="117">
        <f t="shared" si="21"/>
        <v>0</v>
      </c>
      <c r="G148" s="117">
        <f t="shared" si="22"/>
        <v>0</v>
      </c>
      <c r="H148" s="94">
        <f t="shared" si="23"/>
        <v>0</v>
      </c>
      <c r="J148" s="85">
        <f t="shared" si="24"/>
        <v>0</v>
      </c>
      <c r="K148" s="85">
        <f>IF(N147=0,0,IF(N147&lt;BondCalculator!$B$14+BondCalculator!$B$15,N147+L148,BondCalculator!$B$14+BondCalculator!$B$15))</f>
        <v>0</v>
      </c>
      <c r="L148" s="85">
        <f>J148*BondCalculator!$B$7/12</f>
        <v>0</v>
      </c>
      <c r="M148" s="85">
        <f t="shared" si="25"/>
        <v>0</v>
      </c>
      <c r="N148" s="85">
        <f t="shared" si="18"/>
        <v>0</v>
      </c>
      <c r="P148" s="85">
        <f t="shared" si="19"/>
        <v>0</v>
      </c>
      <c r="Q148" s="86">
        <f>-PV(BondCalculator!$B$10/12,B148,0,1,0)</f>
        <v>0.5742039105642142</v>
      </c>
      <c r="S148" s="87">
        <f t="shared" si="20"/>
        <v>0</v>
      </c>
    </row>
    <row r="149" spans="1:19" ht="15" customHeight="1">
      <c r="A149" s="82" t="s">
        <v>108</v>
      </c>
      <c r="B149" s="93">
        <v>146</v>
      </c>
      <c r="C149" s="117">
        <f t="shared" si="26"/>
        <v>0</v>
      </c>
      <c r="D149" s="117">
        <f>IF(G148=0,0,IF(G148&lt;BondCalculator!$B$13,G148+E149,BondCalculator!$B$13))</f>
        <v>0</v>
      </c>
      <c r="E149" s="117">
        <f>C149*BondCalculator!$B$7/12</f>
        <v>0</v>
      </c>
      <c r="F149" s="117">
        <f t="shared" si="21"/>
        <v>0</v>
      </c>
      <c r="G149" s="117">
        <f t="shared" si="22"/>
        <v>0</v>
      </c>
      <c r="H149" s="94">
        <f t="shared" si="23"/>
        <v>0</v>
      </c>
      <c r="J149" s="85">
        <f t="shared" si="24"/>
        <v>0</v>
      </c>
      <c r="K149" s="85">
        <f>IF(N148=0,0,IF(N148&lt;BondCalculator!$B$14+BondCalculator!$B$15,N148+L149,BondCalculator!$B$14+BondCalculator!$B$15))</f>
        <v>0</v>
      </c>
      <c r="L149" s="85">
        <f>J149*BondCalculator!$B$7/12</f>
        <v>0</v>
      </c>
      <c r="M149" s="85">
        <f t="shared" si="25"/>
        <v>0</v>
      </c>
      <c r="N149" s="85">
        <f t="shared" si="18"/>
        <v>0</v>
      </c>
      <c r="P149" s="85">
        <f t="shared" si="19"/>
        <v>0</v>
      </c>
      <c r="Q149" s="86">
        <f>-PV(BondCalculator!$B$10/12,B149,0,1,0)</f>
        <v>0.5720112009605322</v>
      </c>
      <c r="S149" s="87">
        <f t="shared" si="20"/>
        <v>0</v>
      </c>
    </row>
    <row r="150" spans="1:19" ht="15" customHeight="1">
      <c r="A150" s="82" t="s">
        <v>108</v>
      </c>
      <c r="B150" s="93">
        <v>147</v>
      </c>
      <c r="C150" s="117">
        <f t="shared" si="26"/>
        <v>0</v>
      </c>
      <c r="D150" s="117">
        <f>IF(G149=0,0,IF(G149&lt;BondCalculator!$B$13,G149+E150,BondCalculator!$B$13))</f>
        <v>0</v>
      </c>
      <c r="E150" s="117">
        <f>C150*BondCalculator!$B$7/12</f>
        <v>0</v>
      </c>
      <c r="F150" s="117">
        <f t="shared" si="21"/>
        <v>0</v>
      </c>
      <c r="G150" s="117">
        <f t="shared" si="22"/>
        <v>0</v>
      </c>
      <c r="H150" s="94">
        <f t="shared" si="23"/>
        <v>0</v>
      </c>
      <c r="J150" s="85">
        <f t="shared" si="24"/>
        <v>0</v>
      </c>
      <c r="K150" s="85">
        <f>IF(N149=0,0,IF(N149&lt;BondCalculator!$B$14+BondCalculator!$B$15,N149+L150,BondCalculator!$B$14+BondCalculator!$B$15))</f>
        <v>0</v>
      </c>
      <c r="L150" s="85">
        <f>J150*BondCalculator!$B$7/12</f>
        <v>0</v>
      </c>
      <c r="M150" s="85">
        <f t="shared" si="25"/>
        <v>0</v>
      </c>
      <c r="N150" s="85">
        <f t="shared" si="18"/>
        <v>0</v>
      </c>
      <c r="P150" s="85">
        <f t="shared" si="19"/>
        <v>0</v>
      </c>
      <c r="Q150" s="86">
        <f>-PV(BondCalculator!$B$10/12,B150,0,1,0)</f>
        <v>0.5698268646460556</v>
      </c>
      <c r="S150" s="87">
        <f t="shared" si="20"/>
        <v>0</v>
      </c>
    </row>
    <row r="151" spans="1:19" ht="15" customHeight="1">
      <c r="A151" s="82" t="s">
        <v>108</v>
      </c>
      <c r="B151" s="93">
        <v>148</v>
      </c>
      <c r="C151" s="117">
        <f t="shared" si="26"/>
        <v>0</v>
      </c>
      <c r="D151" s="117">
        <f>IF(G150=0,0,IF(G150&lt;BondCalculator!$B$13,G150+E151,BondCalculator!$B$13))</f>
        <v>0</v>
      </c>
      <c r="E151" s="117">
        <f>C151*BondCalculator!$B$7/12</f>
        <v>0</v>
      </c>
      <c r="F151" s="117">
        <f t="shared" si="21"/>
        <v>0</v>
      </c>
      <c r="G151" s="117">
        <f t="shared" si="22"/>
        <v>0</v>
      </c>
      <c r="H151" s="94">
        <f t="shared" si="23"/>
        <v>0</v>
      </c>
      <c r="J151" s="85">
        <f t="shared" si="24"/>
        <v>0</v>
      </c>
      <c r="K151" s="85">
        <f>IF(N150=0,0,IF(N150&lt;BondCalculator!$B$14+BondCalculator!$B$15,N150+L151,BondCalculator!$B$14+BondCalculator!$B$15))</f>
        <v>0</v>
      </c>
      <c r="L151" s="85">
        <f>J151*BondCalculator!$B$7/12</f>
        <v>0</v>
      </c>
      <c r="M151" s="85">
        <f t="shared" si="25"/>
        <v>0</v>
      </c>
      <c r="N151" s="85">
        <f t="shared" si="18"/>
        <v>0</v>
      </c>
      <c r="P151" s="85">
        <f t="shared" si="19"/>
        <v>0</v>
      </c>
      <c r="Q151" s="86">
        <f>-PV(BondCalculator!$B$10/12,B151,0,1,0)</f>
        <v>0.567650869645747</v>
      </c>
      <c r="S151" s="87">
        <f t="shared" si="20"/>
        <v>0</v>
      </c>
    </row>
    <row r="152" spans="1:19" ht="15" customHeight="1">
      <c r="A152" s="82" t="s">
        <v>108</v>
      </c>
      <c r="B152" s="93">
        <v>149</v>
      </c>
      <c r="C152" s="117">
        <f t="shared" si="26"/>
        <v>0</v>
      </c>
      <c r="D152" s="117">
        <f>IF(G151=0,0,IF(G151&lt;BondCalculator!$B$13,G151+E152,BondCalculator!$B$13))</f>
        <v>0</v>
      </c>
      <c r="E152" s="117">
        <f>C152*BondCalculator!$B$7/12</f>
        <v>0</v>
      </c>
      <c r="F152" s="117">
        <f t="shared" si="21"/>
        <v>0</v>
      </c>
      <c r="G152" s="117">
        <f t="shared" si="22"/>
        <v>0</v>
      </c>
      <c r="H152" s="94">
        <f t="shared" si="23"/>
        <v>0</v>
      </c>
      <c r="J152" s="85">
        <f t="shared" si="24"/>
        <v>0</v>
      </c>
      <c r="K152" s="85">
        <f>IF(N151=0,0,IF(N151&lt;BondCalculator!$B$14+BondCalculator!$B$15,N151+L152,BondCalculator!$B$14+BondCalculator!$B$15))</f>
        <v>0</v>
      </c>
      <c r="L152" s="85">
        <f>J152*BondCalculator!$B$7/12</f>
        <v>0</v>
      </c>
      <c r="M152" s="85">
        <f t="shared" si="25"/>
        <v>0</v>
      </c>
      <c r="N152" s="85">
        <f t="shared" si="18"/>
        <v>0</v>
      </c>
      <c r="P152" s="85">
        <f t="shared" si="19"/>
        <v>0</v>
      </c>
      <c r="Q152" s="86">
        <f>-PV(BondCalculator!$B$10/12,B152,0,1,0)</f>
        <v>0.5654831841066713</v>
      </c>
      <c r="S152" s="87">
        <f t="shared" si="20"/>
        <v>0</v>
      </c>
    </row>
    <row r="153" spans="1:19" ht="15" customHeight="1">
      <c r="A153" s="82" t="s">
        <v>108</v>
      </c>
      <c r="B153" s="93">
        <v>150</v>
      </c>
      <c r="C153" s="117">
        <f t="shared" si="26"/>
        <v>0</v>
      </c>
      <c r="D153" s="117">
        <f>IF(G152=0,0,IF(G152&lt;BondCalculator!$B$13,G152+E153,BondCalculator!$B$13))</f>
        <v>0</v>
      </c>
      <c r="E153" s="117">
        <f>C153*BondCalculator!$B$7/12</f>
        <v>0</v>
      </c>
      <c r="F153" s="117">
        <f t="shared" si="21"/>
        <v>0</v>
      </c>
      <c r="G153" s="117">
        <f t="shared" si="22"/>
        <v>0</v>
      </c>
      <c r="H153" s="94">
        <f t="shared" si="23"/>
        <v>0</v>
      </c>
      <c r="J153" s="85">
        <f t="shared" si="24"/>
        <v>0</v>
      </c>
      <c r="K153" s="85">
        <f>IF(N152=0,0,IF(N152&lt;BondCalculator!$B$14+BondCalculator!$B$15,N152+L153,BondCalculator!$B$14+BondCalculator!$B$15))</f>
        <v>0</v>
      </c>
      <c r="L153" s="85">
        <f>J153*BondCalculator!$B$7/12</f>
        <v>0</v>
      </c>
      <c r="M153" s="85">
        <f t="shared" si="25"/>
        <v>0</v>
      </c>
      <c r="N153" s="85">
        <f t="shared" si="18"/>
        <v>0</v>
      </c>
      <c r="P153" s="85">
        <f t="shared" si="19"/>
        <v>0</v>
      </c>
      <c r="Q153" s="86">
        <f>-PV(BondCalculator!$B$10/12,B153,0,1,0)</f>
        <v>0.5633237762975308</v>
      </c>
      <c r="S153" s="87">
        <f t="shared" si="20"/>
        <v>0</v>
      </c>
    </row>
    <row r="154" spans="1:19" ht="15" customHeight="1">
      <c r="A154" s="82" t="s">
        <v>108</v>
      </c>
      <c r="B154" s="93">
        <v>151</v>
      </c>
      <c r="C154" s="117">
        <f t="shared" si="26"/>
        <v>0</v>
      </c>
      <c r="D154" s="117">
        <f>IF(G153=0,0,IF(G153&lt;BondCalculator!$B$13,G153+E154,BondCalculator!$B$13))</f>
        <v>0</v>
      </c>
      <c r="E154" s="117">
        <f>C154*BondCalculator!$B$7/12</f>
        <v>0</v>
      </c>
      <c r="F154" s="117">
        <f t="shared" si="21"/>
        <v>0</v>
      </c>
      <c r="G154" s="117">
        <f t="shared" si="22"/>
        <v>0</v>
      </c>
      <c r="H154" s="94">
        <f t="shared" si="23"/>
        <v>0</v>
      </c>
      <c r="J154" s="85">
        <f t="shared" si="24"/>
        <v>0</v>
      </c>
      <c r="K154" s="85">
        <f>IF(N153=0,0,IF(N153&lt;BondCalculator!$B$14+BondCalculator!$B$15,N153+L154,BondCalculator!$B$14+BondCalculator!$B$15))</f>
        <v>0</v>
      </c>
      <c r="L154" s="85">
        <f>J154*BondCalculator!$B$7/12</f>
        <v>0</v>
      </c>
      <c r="M154" s="85">
        <f t="shared" si="25"/>
        <v>0</v>
      </c>
      <c r="N154" s="85">
        <f t="shared" si="18"/>
        <v>0</v>
      </c>
      <c r="P154" s="85">
        <f t="shared" si="19"/>
        <v>0</v>
      </c>
      <c r="Q154" s="86">
        <f>-PV(BondCalculator!$B$10/12,B154,0,1,0)</f>
        <v>0.5611726146081994</v>
      </c>
      <c r="S154" s="87">
        <f t="shared" si="20"/>
        <v>0</v>
      </c>
    </row>
    <row r="155" spans="1:19" ht="15" customHeight="1">
      <c r="A155" s="82" t="s">
        <v>108</v>
      </c>
      <c r="B155" s="93">
        <v>152</v>
      </c>
      <c r="C155" s="117">
        <f t="shared" si="26"/>
        <v>0</v>
      </c>
      <c r="D155" s="117">
        <f>IF(G154=0,0,IF(G154&lt;BondCalculator!$B$13,G154+E155,BondCalculator!$B$13))</f>
        <v>0</v>
      </c>
      <c r="E155" s="117">
        <f>C155*BondCalculator!$B$7/12</f>
        <v>0</v>
      </c>
      <c r="F155" s="117">
        <f t="shared" si="21"/>
        <v>0</v>
      </c>
      <c r="G155" s="117">
        <f t="shared" si="22"/>
        <v>0</v>
      </c>
      <c r="H155" s="94">
        <f t="shared" si="23"/>
        <v>0</v>
      </c>
      <c r="J155" s="85">
        <f t="shared" si="24"/>
        <v>0</v>
      </c>
      <c r="K155" s="85">
        <f>IF(N154=0,0,IF(N154&lt;BondCalculator!$B$14+BondCalculator!$B$15,N154+L155,BondCalculator!$B$14+BondCalculator!$B$15))</f>
        <v>0</v>
      </c>
      <c r="L155" s="85">
        <f>J155*BondCalculator!$B$7/12</f>
        <v>0</v>
      </c>
      <c r="M155" s="85">
        <f t="shared" si="25"/>
        <v>0</v>
      </c>
      <c r="N155" s="85">
        <f t="shared" si="18"/>
        <v>0</v>
      </c>
      <c r="P155" s="85">
        <f t="shared" si="19"/>
        <v>0</v>
      </c>
      <c r="Q155" s="86">
        <f>-PV(BondCalculator!$B$10/12,B155,0,1,0)</f>
        <v>0.5590296675492605</v>
      </c>
      <c r="S155" s="87">
        <f t="shared" si="20"/>
        <v>0</v>
      </c>
    </row>
    <row r="156" spans="1:19" ht="15" customHeight="1">
      <c r="A156" s="82" t="s">
        <v>108</v>
      </c>
      <c r="B156" s="93">
        <v>153</v>
      </c>
      <c r="C156" s="117">
        <f t="shared" si="26"/>
        <v>0</v>
      </c>
      <c r="D156" s="117">
        <f>IF(G155=0,0,IF(G155&lt;BondCalculator!$B$13,G155+E156,BondCalculator!$B$13))</f>
        <v>0</v>
      </c>
      <c r="E156" s="117">
        <f>C156*BondCalculator!$B$7/12</f>
        <v>0</v>
      </c>
      <c r="F156" s="117">
        <f t="shared" si="21"/>
        <v>0</v>
      </c>
      <c r="G156" s="117">
        <f t="shared" si="22"/>
        <v>0</v>
      </c>
      <c r="H156" s="94">
        <f t="shared" si="23"/>
        <v>0</v>
      </c>
      <c r="J156" s="85">
        <f t="shared" si="24"/>
        <v>0</v>
      </c>
      <c r="K156" s="85">
        <f>IF(N155=0,0,IF(N155&lt;BondCalculator!$B$14+BondCalculator!$B$15,N155+L156,BondCalculator!$B$14+BondCalculator!$B$15))</f>
        <v>0</v>
      </c>
      <c r="L156" s="85">
        <f>J156*BondCalculator!$B$7/12</f>
        <v>0</v>
      </c>
      <c r="M156" s="85">
        <f t="shared" si="25"/>
        <v>0</v>
      </c>
      <c r="N156" s="85">
        <f t="shared" si="18"/>
        <v>0</v>
      </c>
      <c r="P156" s="85">
        <f t="shared" si="19"/>
        <v>0</v>
      </c>
      <c r="Q156" s="86">
        <f>-PV(BondCalculator!$B$10/12,B156,0,1,0)</f>
        <v>0.5568949037515463</v>
      </c>
      <c r="S156" s="87">
        <f t="shared" si="20"/>
        <v>0</v>
      </c>
    </row>
    <row r="157" spans="1:19" ht="15" customHeight="1">
      <c r="A157" s="82" t="s">
        <v>108</v>
      </c>
      <c r="B157" s="93">
        <v>154</v>
      </c>
      <c r="C157" s="117">
        <f t="shared" si="26"/>
        <v>0</v>
      </c>
      <c r="D157" s="117">
        <f>IF(G156=0,0,IF(G156&lt;BondCalculator!$B$13,G156+E157,BondCalculator!$B$13))</f>
        <v>0</v>
      </c>
      <c r="E157" s="117">
        <f>C157*BondCalculator!$B$7/12</f>
        <v>0</v>
      </c>
      <c r="F157" s="117">
        <f t="shared" si="21"/>
        <v>0</v>
      </c>
      <c r="G157" s="117">
        <f t="shared" si="22"/>
        <v>0</v>
      </c>
      <c r="H157" s="94">
        <f t="shared" si="23"/>
        <v>0</v>
      </c>
      <c r="J157" s="85">
        <f t="shared" si="24"/>
        <v>0</v>
      </c>
      <c r="K157" s="85">
        <f>IF(N156=0,0,IF(N156&lt;BondCalculator!$B$14+BondCalculator!$B$15,N156+L157,BondCalculator!$B$14+BondCalculator!$B$15))</f>
        <v>0</v>
      </c>
      <c r="L157" s="85">
        <f>J157*BondCalculator!$B$7/12</f>
        <v>0</v>
      </c>
      <c r="M157" s="85">
        <f t="shared" si="25"/>
        <v>0</v>
      </c>
      <c r="N157" s="85">
        <f t="shared" si="18"/>
        <v>0</v>
      </c>
      <c r="P157" s="85">
        <f t="shared" si="19"/>
        <v>0</v>
      </c>
      <c r="Q157" s="86">
        <f>-PV(BondCalculator!$B$10/12,B157,0,1,0)</f>
        <v>0.5547682919656778</v>
      </c>
      <c r="S157" s="87">
        <f t="shared" si="20"/>
        <v>0</v>
      </c>
    </row>
    <row r="158" spans="1:19" ht="15" customHeight="1">
      <c r="A158" s="82" t="s">
        <v>108</v>
      </c>
      <c r="B158" s="93">
        <v>155</v>
      </c>
      <c r="C158" s="117">
        <f t="shared" si="26"/>
        <v>0</v>
      </c>
      <c r="D158" s="117">
        <f>IF(G157=0,0,IF(G157&lt;BondCalculator!$B$13,G157+E158,BondCalculator!$B$13))</f>
        <v>0</v>
      </c>
      <c r="E158" s="117">
        <f>C158*BondCalculator!$B$7/12</f>
        <v>0</v>
      </c>
      <c r="F158" s="117">
        <f t="shared" si="21"/>
        <v>0</v>
      </c>
      <c r="G158" s="117">
        <f t="shared" si="22"/>
        <v>0</v>
      </c>
      <c r="H158" s="94">
        <f t="shared" si="23"/>
        <v>0</v>
      </c>
      <c r="J158" s="85">
        <f t="shared" si="24"/>
        <v>0</v>
      </c>
      <c r="K158" s="85">
        <f>IF(N157=0,0,IF(N157&lt;BondCalculator!$B$14+BondCalculator!$B$15,N157+L158,BondCalculator!$B$14+BondCalculator!$B$15))</f>
        <v>0</v>
      </c>
      <c r="L158" s="85">
        <f>J158*BondCalculator!$B$7/12</f>
        <v>0</v>
      </c>
      <c r="M158" s="85">
        <f t="shared" si="25"/>
        <v>0</v>
      </c>
      <c r="N158" s="85">
        <f t="shared" si="18"/>
        <v>0</v>
      </c>
      <c r="P158" s="85">
        <f t="shared" si="19"/>
        <v>0</v>
      </c>
      <c r="Q158" s="86">
        <f>-PV(BondCalculator!$B$10/12,B158,0,1,0)</f>
        <v>0.5526498010616084</v>
      </c>
      <c r="S158" s="87">
        <f t="shared" si="20"/>
        <v>0</v>
      </c>
    </row>
    <row r="159" spans="1:19" ht="15" customHeight="1">
      <c r="A159" s="82" t="s">
        <v>108</v>
      </c>
      <c r="B159" s="93">
        <v>156</v>
      </c>
      <c r="C159" s="117">
        <f t="shared" si="26"/>
        <v>0</v>
      </c>
      <c r="D159" s="117">
        <f>IF(G158=0,0,IF(G158&lt;BondCalculator!$B$13,G158+E159,BondCalculator!$B$13))</f>
        <v>0</v>
      </c>
      <c r="E159" s="117">
        <f>C159*BondCalculator!$B$7/12</f>
        <v>0</v>
      </c>
      <c r="F159" s="117">
        <f t="shared" si="21"/>
        <v>0</v>
      </c>
      <c r="G159" s="117">
        <f t="shared" si="22"/>
        <v>0</v>
      </c>
      <c r="H159" s="94">
        <f t="shared" si="23"/>
        <v>0</v>
      </c>
      <c r="J159" s="85">
        <f t="shared" si="24"/>
        <v>0</v>
      </c>
      <c r="K159" s="85">
        <f>IF(N158=0,0,IF(N158&lt;BondCalculator!$B$14+BondCalculator!$B$15,N158+L159,BondCalculator!$B$14+BondCalculator!$B$15))</f>
        <v>0</v>
      </c>
      <c r="L159" s="85">
        <f>J159*BondCalculator!$B$7/12</f>
        <v>0</v>
      </c>
      <c r="M159" s="85">
        <f t="shared" si="25"/>
        <v>0</v>
      </c>
      <c r="N159" s="85">
        <f t="shared" si="18"/>
        <v>0</v>
      </c>
      <c r="P159" s="85">
        <f t="shared" si="19"/>
        <v>0</v>
      </c>
      <c r="Q159" s="86">
        <f>-PV(BondCalculator!$B$10/12,B159,0,1,0)</f>
        <v>0.5505394000281671</v>
      </c>
      <c r="S159" s="87">
        <f t="shared" si="20"/>
        <v>0</v>
      </c>
    </row>
    <row r="160" spans="1:19" ht="15" customHeight="1">
      <c r="A160" s="82" t="s">
        <v>109</v>
      </c>
      <c r="B160" s="93">
        <v>157</v>
      </c>
      <c r="C160" s="117">
        <f t="shared" si="26"/>
        <v>0</v>
      </c>
      <c r="D160" s="117">
        <f>IF(G159=0,0,IF(G159&lt;BondCalculator!$B$13,G159+E160,BondCalculator!$B$13))</f>
        <v>0</v>
      </c>
      <c r="E160" s="117">
        <f>C160*BondCalculator!$B$7/12</f>
        <v>0</v>
      </c>
      <c r="F160" s="117">
        <f t="shared" si="21"/>
        <v>0</v>
      </c>
      <c r="G160" s="117">
        <f t="shared" si="22"/>
        <v>0</v>
      </c>
      <c r="H160" s="94">
        <f t="shared" si="23"/>
        <v>0</v>
      </c>
      <c r="J160" s="85">
        <f t="shared" si="24"/>
        <v>0</v>
      </c>
      <c r="K160" s="85">
        <f>IF(N159=0,0,IF(N159&lt;BondCalculator!$B$14+BondCalculator!$B$15,N159+L160,BondCalculator!$B$14+BondCalculator!$B$15))</f>
        <v>0</v>
      </c>
      <c r="L160" s="85">
        <f>J160*BondCalculator!$B$7/12</f>
        <v>0</v>
      </c>
      <c r="M160" s="85">
        <f t="shared" si="25"/>
        <v>0</v>
      </c>
      <c r="N160" s="85">
        <f t="shared" si="18"/>
        <v>0</v>
      </c>
      <c r="P160" s="85">
        <f t="shared" si="19"/>
        <v>0</v>
      </c>
      <c r="Q160" s="86">
        <f>-PV(BondCalculator!$B$10/12,B160,0,1,0)</f>
        <v>0.5484370579726054</v>
      </c>
      <c r="S160" s="87">
        <f t="shared" si="20"/>
        <v>0</v>
      </c>
    </row>
    <row r="161" spans="1:19" ht="15" customHeight="1">
      <c r="A161" s="82" t="s">
        <v>109</v>
      </c>
      <c r="B161" s="93">
        <v>158</v>
      </c>
      <c r="C161" s="117">
        <f t="shared" si="26"/>
        <v>0</v>
      </c>
      <c r="D161" s="117">
        <f>IF(G160=0,0,IF(G160&lt;BondCalculator!$B$13,G160+E161,BondCalculator!$B$13))</f>
        <v>0</v>
      </c>
      <c r="E161" s="117">
        <f>C161*BondCalculator!$B$7/12</f>
        <v>0</v>
      </c>
      <c r="F161" s="117">
        <f t="shared" si="21"/>
        <v>0</v>
      </c>
      <c r="G161" s="117">
        <f t="shared" si="22"/>
        <v>0</v>
      </c>
      <c r="H161" s="94">
        <f t="shared" si="23"/>
        <v>0</v>
      </c>
      <c r="J161" s="85">
        <f t="shared" si="24"/>
        <v>0</v>
      </c>
      <c r="K161" s="85">
        <f>IF(N160=0,0,IF(N160&lt;BondCalculator!$B$14+BondCalculator!$B$15,N160+L161,BondCalculator!$B$14+BondCalculator!$B$15))</f>
        <v>0</v>
      </c>
      <c r="L161" s="85">
        <f>J161*BondCalculator!$B$7/12</f>
        <v>0</v>
      </c>
      <c r="M161" s="85">
        <f t="shared" si="25"/>
        <v>0</v>
      </c>
      <c r="N161" s="85">
        <f t="shared" si="18"/>
        <v>0</v>
      </c>
      <c r="P161" s="85">
        <f t="shared" si="19"/>
        <v>0</v>
      </c>
      <c r="Q161" s="86">
        <f>-PV(BondCalculator!$B$10/12,B161,0,1,0)</f>
        <v>0.5463427441201449</v>
      </c>
      <c r="S161" s="87">
        <f t="shared" si="20"/>
        <v>0</v>
      </c>
    </row>
    <row r="162" spans="1:19" ht="15" customHeight="1">
      <c r="A162" s="82" t="s">
        <v>109</v>
      </c>
      <c r="B162" s="93">
        <v>159</v>
      </c>
      <c r="C162" s="117">
        <f t="shared" si="26"/>
        <v>0</v>
      </c>
      <c r="D162" s="117">
        <f>IF(G161=0,0,IF(G161&lt;BondCalculator!$B$13,G161+E162,BondCalculator!$B$13))</f>
        <v>0</v>
      </c>
      <c r="E162" s="117">
        <f>C162*BondCalculator!$B$7/12</f>
        <v>0</v>
      </c>
      <c r="F162" s="117">
        <f t="shared" si="21"/>
        <v>0</v>
      </c>
      <c r="G162" s="117">
        <f t="shared" si="22"/>
        <v>0</v>
      </c>
      <c r="H162" s="94">
        <f t="shared" si="23"/>
        <v>0</v>
      </c>
      <c r="J162" s="85">
        <f t="shared" si="24"/>
        <v>0</v>
      </c>
      <c r="K162" s="85">
        <f>IF(N161=0,0,IF(N161&lt;BondCalculator!$B$14+BondCalculator!$B$15,N161+L162,BondCalculator!$B$14+BondCalculator!$B$15))</f>
        <v>0</v>
      </c>
      <c r="L162" s="85">
        <f>J162*BondCalculator!$B$7/12</f>
        <v>0</v>
      </c>
      <c r="M162" s="85">
        <f t="shared" si="25"/>
        <v>0</v>
      </c>
      <c r="N162" s="85">
        <f t="shared" si="18"/>
        <v>0</v>
      </c>
      <c r="P162" s="85">
        <f t="shared" si="19"/>
        <v>0</v>
      </c>
      <c r="Q162" s="86">
        <f>-PV(BondCalculator!$B$10/12,B162,0,1,0)</f>
        <v>0.5442564278135263</v>
      </c>
      <c r="S162" s="87">
        <f t="shared" si="20"/>
        <v>0</v>
      </c>
    </row>
    <row r="163" spans="1:19" ht="15" customHeight="1">
      <c r="A163" s="82" t="s">
        <v>109</v>
      </c>
      <c r="B163" s="93">
        <v>160</v>
      </c>
      <c r="C163" s="117">
        <f t="shared" si="26"/>
        <v>0</v>
      </c>
      <c r="D163" s="117">
        <f>IF(G162=0,0,IF(G162&lt;BondCalculator!$B$13,G162+E163,BondCalculator!$B$13))</f>
        <v>0</v>
      </c>
      <c r="E163" s="117">
        <f>C163*BondCalculator!$B$7/12</f>
        <v>0</v>
      </c>
      <c r="F163" s="117">
        <f t="shared" si="21"/>
        <v>0</v>
      </c>
      <c r="G163" s="117">
        <f t="shared" si="22"/>
        <v>0</v>
      </c>
      <c r="H163" s="94">
        <f t="shared" si="23"/>
        <v>0</v>
      </c>
      <c r="J163" s="85">
        <f t="shared" si="24"/>
        <v>0</v>
      </c>
      <c r="K163" s="85">
        <f>IF(N162=0,0,IF(N162&lt;BondCalculator!$B$14+BondCalculator!$B$15,N162+L163,BondCalculator!$B$14+BondCalculator!$B$15))</f>
        <v>0</v>
      </c>
      <c r="L163" s="85">
        <f>J163*BondCalculator!$B$7/12</f>
        <v>0</v>
      </c>
      <c r="M163" s="85">
        <f t="shared" si="25"/>
        <v>0</v>
      </c>
      <c r="N163" s="85">
        <f t="shared" si="18"/>
        <v>0</v>
      </c>
      <c r="P163" s="85">
        <f t="shared" si="19"/>
        <v>0</v>
      </c>
      <c r="Q163" s="86">
        <f>-PV(BondCalculator!$B$10/12,B163,0,1,0)</f>
        <v>0.5421780785125617</v>
      </c>
      <c r="S163" s="87">
        <f t="shared" si="20"/>
        <v>0</v>
      </c>
    </row>
    <row r="164" spans="1:19" ht="15" customHeight="1">
      <c r="A164" s="82" t="s">
        <v>109</v>
      </c>
      <c r="B164" s="93">
        <v>161</v>
      </c>
      <c r="C164" s="117">
        <f t="shared" si="26"/>
        <v>0</v>
      </c>
      <c r="D164" s="117">
        <f>IF(G163=0,0,IF(G163&lt;BondCalculator!$B$13,G163+E164,BondCalculator!$B$13))</f>
        <v>0</v>
      </c>
      <c r="E164" s="117">
        <f>C164*BondCalculator!$B$7/12</f>
        <v>0</v>
      </c>
      <c r="F164" s="117">
        <f t="shared" si="21"/>
        <v>0</v>
      </c>
      <c r="G164" s="117">
        <f t="shared" si="22"/>
        <v>0</v>
      </c>
      <c r="H164" s="94">
        <f t="shared" si="23"/>
        <v>0</v>
      </c>
      <c r="J164" s="85">
        <f t="shared" si="24"/>
        <v>0</v>
      </c>
      <c r="K164" s="85">
        <f>IF(N163=0,0,IF(N163&lt;BondCalculator!$B$14+BondCalculator!$B$15,N163+L164,BondCalculator!$B$14+BondCalculator!$B$15))</f>
        <v>0</v>
      </c>
      <c r="L164" s="85">
        <f>J164*BondCalculator!$B$7/12</f>
        <v>0</v>
      </c>
      <c r="M164" s="85">
        <f t="shared" si="25"/>
        <v>0</v>
      </c>
      <c r="N164" s="85">
        <f t="shared" si="18"/>
        <v>0</v>
      </c>
      <c r="P164" s="85">
        <f t="shared" si="19"/>
        <v>0</v>
      </c>
      <c r="Q164" s="86">
        <f>-PV(BondCalculator!$B$10/12,B164,0,1,0)</f>
        <v>0.540107665793686</v>
      </c>
      <c r="S164" s="87">
        <f t="shared" si="20"/>
        <v>0</v>
      </c>
    </row>
    <row r="165" spans="1:19" ht="15" customHeight="1">
      <c r="A165" s="82" t="s">
        <v>109</v>
      </c>
      <c r="B165" s="93">
        <v>162</v>
      </c>
      <c r="C165" s="117">
        <f t="shared" si="26"/>
        <v>0</v>
      </c>
      <c r="D165" s="117">
        <f>IF(G164=0,0,IF(G164&lt;BondCalculator!$B$13,G164+E165,BondCalculator!$B$13))</f>
        <v>0</v>
      </c>
      <c r="E165" s="117">
        <f>C165*BondCalculator!$B$7/12</f>
        <v>0</v>
      </c>
      <c r="F165" s="117">
        <f t="shared" si="21"/>
        <v>0</v>
      </c>
      <c r="G165" s="117">
        <f t="shared" si="22"/>
        <v>0</v>
      </c>
      <c r="H165" s="94">
        <f t="shared" si="23"/>
        <v>0</v>
      </c>
      <c r="J165" s="85">
        <f t="shared" si="24"/>
        <v>0</v>
      </c>
      <c r="K165" s="85">
        <f>IF(N164=0,0,IF(N164&lt;BondCalculator!$B$14+BondCalculator!$B$15,N164+L165,BondCalculator!$B$14+BondCalculator!$B$15))</f>
        <v>0</v>
      </c>
      <c r="L165" s="85">
        <f>J165*BondCalculator!$B$7/12</f>
        <v>0</v>
      </c>
      <c r="M165" s="85">
        <f t="shared" si="25"/>
        <v>0</v>
      </c>
      <c r="N165" s="85">
        <f t="shared" si="18"/>
        <v>0</v>
      </c>
      <c r="P165" s="85">
        <f t="shared" si="19"/>
        <v>0</v>
      </c>
      <c r="Q165" s="86">
        <f>-PV(BondCalculator!$B$10/12,B165,0,1,0)</f>
        <v>0.5380451593495128</v>
      </c>
      <c r="S165" s="87">
        <f t="shared" si="20"/>
        <v>0</v>
      </c>
    </row>
    <row r="166" spans="1:19" ht="15" customHeight="1">
      <c r="A166" s="82" t="s">
        <v>109</v>
      </c>
      <c r="B166" s="93">
        <v>163</v>
      </c>
      <c r="C166" s="117">
        <f t="shared" si="26"/>
        <v>0</v>
      </c>
      <c r="D166" s="117">
        <f>IF(G165=0,0,IF(G165&lt;BondCalculator!$B$13,G165+E166,BondCalculator!$B$13))</f>
        <v>0</v>
      </c>
      <c r="E166" s="117">
        <f>C166*BondCalculator!$B$7/12</f>
        <v>0</v>
      </c>
      <c r="F166" s="117">
        <f t="shared" si="21"/>
        <v>0</v>
      </c>
      <c r="G166" s="117">
        <f t="shared" si="22"/>
        <v>0</v>
      </c>
      <c r="H166" s="94">
        <f t="shared" si="23"/>
        <v>0</v>
      </c>
      <c r="J166" s="85">
        <f t="shared" si="24"/>
        <v>0</v>
      </c>
      <c r="K166" s="85">
        <f>IF(N165=0,0,IF(N165&lt;BondCalculator!$B$14+BondCalculator!$B$15,N165+L166,BondCalculator!$B$14+BondCalculator!$B$15))</f>
        <v>0</v>
      </c>
      <c r="L166" s="85">
        <f>J166*BondCalculator!$B$7/12</f>
        <v>0</v>
      </c>
      <c r="M166" s="85">
        <f t="shared" si="25"/>
        <v>0</v>
      </c>
      <c r="N166" s="85">
        <f t="shared" si="18"/>
        <v>0</v>
      </c>
      <c r="P166" s="85">
        <f t="shared" si="19"/>
        <v>0</v>
      </c>
      <c r="Q166" s="86">
        <f>-PV(BondCalculator!$B$10/12,B166,0,1,0)</f>
        <v>0.5359905289883906</v>
      </c>
      <c r="S166" s="87">
        <f t="shared" si="20"/>
        <v>0</v>
      </c>
    </row>
    <row r="167" spans="1:19" ht="15" customHeight="1">
      <c r="A167" s="82" t="s">
        <v>109</v>
      </c>
      <c r="B167" s="93">
        <v>164</v>
      </c>
      <c r="C167" s="117">
        <f t="shared" si="26"/>
        <v>0</v>
      </c>
      <c r="D167" s="117">
        <f>IF(G166=0,0,IF(G166&lt;BondCalculator!$B$13,G166+E167,BondCalculator!$B$13))</f>
        <v>0</v>
      </c>
      <c r="E167" s="117">
        <f>C167*BondCalculator!$B$7/12</f>
        <v>0</v>
      </c>
      <c r="F167" s="117">
        <f t="shared" si="21"/>
        <v>0</v>
      </c>
      <c r="G167" s="117">
        <f t="shared" si="22"/>
        <v>0</v>
      </c>
      <c r="H167" s="94">
        <f t="shared" si="23"/>
        <v>0</v>
      </c>
      <c r="J167" s="85">
        <f t="shared" si="24"/>
        <v>0</v>
      </c>
      <c r="K167" s="85">
        <f>IF(N166=0,0,IF(N166&lt;BondCalculator!$B$14+BondCalculator!$B$15,N166+L167,BondCalculator!$B$14+BondCalculator!$B$15))</f>
        <v>0</v>
      </c>
      <c r="L167" s="85">
        <f>J167*BondCalculator!$B$7/12</f>
        <v>0</v>
      </c>
      <c r="M167" s="85">
        <f t="shared" si="25"/>
        <v>0</v>
      </c>
      <c r="N167" s="85">
        <f t="shared" si="18"/>
        <v>0</v>
      </c>
      <c r="P167" s="85">
        <f t="shared" si="19"/>
        <v>0</v>
      </c>
      <c r="Q167" s="86">
        <f>-PV(BondCalculator!$B$10/12,B167,0,1,0)</f>
        <v>0.5339437446339605</v>
      </c>
      <c r="S167" s="87">
        <f t="shared" si="20"/>
        <v>0</v>
      </c>
    </row>
    <row r="168" spans="1:19" ht="15" customHeight="1">
      <c r="A168" s="82" t="s">
        <v>109</v>
      </c>
      <c r="B168" s="93">
        <v>165</v>
      </c>
      <c r="C168" s="117">
        <f t="shared" si="26"/>
        <v>0</v>
      </c>
      <c r="D168" s="117">
        <f>IF(G167=0,0,IF(G167&lt;BondCalculator!$B$13,G167+E168,BondCalculator!$B$13))</f>
        <v>0</v>
      </c>
      <c r="E168" s="117">
        <f>C168*BondCalculator!$B$7/12</f>
        <v>0</v>
      </c>
      <c r="F168" s="117">
        <f t="shared" si="21"/>
        <v>0</v>
      </c>
      <c r="G168" s="117">
        <f t="shared" si="22"/>
        <v>0</v>
      </c>
      <c r="H168" s="94">
        <f t="shared" si="23"/>
        <v>0</v>
      </c>
      <c r="J168" s="85">
        <f t="shared" si="24"/>
        <v>0</v>
      </c>
      <c r="K168" s="85">
        <f>IF(N167=0,0,IF(N167&lt;BondCalculator!$B$14+BondCalculator!$B$15,N167+L168,BondCalculator!$B$14+BondCalculator!$B$15))</f>
        <v>0</v>
      </c>
      <c r="L168" s="85">
        <f>J168*BondCalculator!$B$7/12</f>
        <v>0</v>
      </c>
      <c r="M168" s="85">
        <f t="shared" si="25"/>
        <v>0</v>
      </c>
      <c r="N168" s="85">
        <f t="shared" si="18"/>
        <v>0</v>
      </c>
      <c r="P168" s="85">
        <f t="shared" si="19"/>
        <v>0</v>
      </c>
      <c r="Q168" s="86">
        <f>-PV(BondCalculator!$B$10/12,B168,0,1,0)</f>
        <v>0.5319047763247158</v>
      </c>
      <c r="S168" s="87">
        <f t="shared" si="20"/>
        <v>0</v>
      </c>
    </row>
    <row r="169" spans="1:19" ht="15" customHeight="1">
      <c r="A169" s="82" t="s">
        <v>109</v>
      </c>
      <c r="B169" s="93">
        <v>166</v>
      </c>
      <c r="C169" s="117">
        <f t="shared" si="26"/>
        <v>0</v>
      </c>
      <c r="D169" s="117">
        <f>IF(G168=0,0,IF(G168&lt;BondCalculator!$B$13,G168+E169,BondCalculator!$B$13))</f>
        <v>0</v>
      </c>
      <c r="E169" s="117">
        <f>C169*BondCalculator!$B$7/12</f>
        <v>0</v>
      </c>
      <c r="F169" s="117">
        <f t="shared" si="21"/>
        <v>0</v>
      </c>
      <c r="G169" s="117">
        <f t="shared" si="22"/>
        <v>0</v>
      </c>
      <c r="H169" s="94">
        <f t="shared" si="23"/>
        <v>0</v>
      </c>
      <c r="J169" s="85">
        <f t="shared" si="24"/>
        <v>0</v>
      </c>
      <c r="K169" s="85">
        <f>IF(N168=0,0,IF(N168&lt;BondCalculator!$B$14+BondCalculator!$B$15,N168+L169,BondCalculator!$B$14+BondCalculator!$B$15))</f>
        <v>0</v>
      </c>
      <c r="L169" s="85">
        <f>J169*BondCalculator!$B$7/12</f>
        <v>0</v>
      </c>
      <c r="M169" s="85">
        <f t="shared" si="25"/>
        <v>0</v>
      </c>
      <c r="N169" s="85">
        <f t="shared" si="18"/>
        <v>0</v>
      </c>
      <c r="P169" s="85">
        <f t="shared" si="19"/>
        <v>0</v>
      </c>
      <c r="Q169" s="86">
        <f>-PV(BondCalculator!$B$10/12,B169,0,1,0)</f>
        <v>0.5298735942135637</v>
      </c>
      <c r="S169" s="87">
        <f t="shared" si="20"/>
        <v>0</v>
      </c>
    </row>
    <row r="170" spans="1:19" ht="15" customHeight="1">
      <c r="A170" s="82" t="s">
        <v>109</v>
      </c>
      <c r="B170" s="93">
        <v>167</v>
      </c>
      <c r="C170" s="117">
        <f t="shared" si="26"/>
        <v>0</v>
      </c>
      <c r="D170" s="117">
        <f>IF(G169=0,0,IF(G169&lt;BondCalculator!$B$13,G169+E170,BondCalculator!$B$13))</f>
        <v>0</v>
      </c>
      <c r="E170" s="117">
        <f>C170*BondCalculator!$B$7/12</f>
        <v>0</v>
      </c>
      <c r="F170" s="117">
        <f t="shared" si="21"/>
        <v>0</v>
      </c>
      <c r="G170" s="117">
        <f t="shared" si="22"/>
        <v>0</v>
      </c>
      <c r="H170" s="94">
        <f t="shared" si="23"/>
        <v>0</v>
      </c>
      <c r="J170" s="85">
        <f t="shared" si="24"/>
        <v>0</v>
      </c>
      <c r="K170" s="85">
        <f>IF(N169=0,0,IF(N169&lt;BondCalculator!$B$14+BondCalculator!$B$15,N169+L170,BondCalculator!$B$14+BondCalculator!$B$15))</f>
        <v>0</v>
      </c>
      <c r="L170" s="85">
        <f>J170*BondCalculator!$B$7/12</f>
        <v>0</v>
      </c>
      <c r="M170" s="85">
        <f t="shared" si="25"/>
        <v>0</v>
      </c>
      <c r="N170" s="85">
        <f t="shared" si="18"/>
        <v>0</v>
      </c>
      <c r="P170" s="85">
        <f t="shared" si="19"/>
        <v>0</v>
      </c>
      <c r="Q170" s="86">
        <f>-PV(BondCalculator!$B$10/12,B170,0,1,0)</f>
        <v>0.5278501685673888</v>
      </c>
      <c r="S170" s="87">
        <f t="shared" si="20"/>
        <v>0</v>
      </c>
    </row>
    <row r="171" spans="1:19" ht="15" customHeight="1">
      <c r="A171" s="82" t="s">
        <v>109</v>
      </c>
      <c r="B171" s="93">
        <v>168</v>
      </c>
      <c r="C171" s="117">
        <f t="shared" si="26"/>
        <v>0</v>
      </c>
      <c r="D171" s="117">
        <f>IF(G170=0,0,IF(G170&lt;BondCalculator!$B$13,G170+E171,BondCalculator!$B$13))</f>
        <v>0</v>
      </c>
      <c r="E171" s="117">
        <f>C171*BondCalculator!$B$7/12</f>
        <v>0</v>
      </c>
      <c r="F171" s="117">
        <f t="shared" si="21"/>
        <v>0</v>
      </c>
      <c r="G171" s="117">
        <f t="shared" si="22"/>
        <v>0</v>
      </c>
      <c r="H171" s="94">
        <f t="shared" si="23"/>
        <v>0</v>
      </c>
      <c r="J171" s="85">
        <f t="shared" si="24"/>
        <v>0</v>
      </c>
      <c r="K171" s="85">
        <f>IF(N170=0,0,IF(N170&lt;BondCalculator!$B$14+BondCalculator!$B$15,N170+L171,BondCalculator!$B$14+BondCalculator!$B$15))</f>
        <v>0</v>
      </c>
      <c r="L171" s="85">
        <f>J171*BondCalculator!$B$7/12</f>
        <v>0</v>
      </c>
      <c r="M171" s="85">
        <f t="shared" si="25"/>
        <v>0</v>
      </c>
      <c r="N171" s="85">
        <f t="shared" si="18"/>
        <v>0</v>
      </c>
      <c r="P171" s="85">
        <f t="shared" si="19"/>
        <v>0</v>
      </c>
      <c r="Q171" s="86">
        <f>-PV(BondCalculator!$B$10/12,B171,0,1,0)</f>
        <v>0.5258344697666167</v>
      </c>
      <c r="S171" s="87">
        <f t="shared" si="20"/>
        <v>0</v>
      </c>
    </row>
    <row r="172" spans="1:19" ht="15" customHeight="1">
      <c r="A172" s="82" t="s">
        <v>110</v>
      </c>
      <c r="B172" s="93">
        <v>169</v>
      </c>
      <c r="C172" s="117">
        <f t="shared" si="26"/>
        <v>0</v>
      </c>
      <c r="D172" s="117">
        <f>IF(G171=0,0,IF(G171&lt;BondCalculator!$B$13,G171+E172,BondCalculator!$B$13))</f>
        <v>0</v>
      </c>
      <c r="E172" s="117">
        <f>C172*BondCalculator!$B$7/12</f>
        <v>0</v>
      </c>
      <c r="F172" s="117">
        <f t="shared" si="21"/>
        <v>0</v>
      </c>
      <c r="G172" s="117">
        <f t="shared" si="22"/>
        <v>0</v>
      </c>
      <c r="H172" s="94">
        <f t="shared" si="23"/>
        <v>0</v>
      </c>
      <c r="J172" s="85">
        <f t="shared" si="24"/>
        <v>0</v>
      </c>
      <c r="K172" s="85">
        <f>IF(N171=0,0,IF(N171&lt;BondCalculator!$B$14+BondCalculator!$B$15,N171+L172,BondCalculator!$B$14+BondCalculator!$B$15))</f>
        <v>0</v>
      </c>
      <c r="L172" s="85">
        <f>J172*BondCalculator!$B$7/12</f>
        <v>0</v>
      </c>
      <c r="M172" s="85">
        <f t="shared" si="25"/>
        <v>0</v>
      </c>
      <c r="N172" s="85">
        <f t="shared" si="18"/>
        <v>0</v>
      </c>
      <c r="P172" s="85">
        <f t="shared" si="19"/>
        <v>0</v>
      </c>
      <c r="Q172" s="86">
        <f>-PV(BondCalculator!$B$10/12,B172,0,1,0)</f>
        <v>0.5238264683047816</v>
      </c>
      <c r="S172" s="87">
        <f t="shared" si="20"/>
        <v>0</v>
      </c>
    </row>
    <row r="173" spans="1:19" ht="15" customHeight="1">
      <c r="A173" s="82" t="s">
        <v>110</v>
      </c>
      <c r="B173" s="93">
        <v>170</v>
      </c>
      <c r="C173" s="117">
        <f t="shared" si="26"/>
        <v>0</v>
      </c>
      <c r="D173" s="117">
        <f>IF(G172=0,0,IF(G172&lt;BondCalculator!$B$13,G172+E173,BondCalculator!$B$13))</f>
        <v>0</v>
      </c>
      <c r="E173" s="117">
        <f>C173*BondCalculator!$B$7/12</f>
        <v>0</v>
      </c>
      <c r="F173" s="117">
        <f t="shared" si="21"/>
        <v>0</v>
      </c>
      <c r="G173" s="117">
        <f t="shared" si="22"/>
        <v>0</v>
      </c>
      <c r="H173" s="94">
        <f t="shared" si="23"/>
        <v>0</v>
      </c>
      <c r="J173" s="85">
        <f t="shared" si="24"/>
        <v>0</v>
      </c>
      <c r="K173" s="85">
        <f>IF(N172=0,0,IF(N172&lt;BondCalculator!$B$14+BondCalculator!$B$15,N172+L173,BondCalculator!$B$14+BondCalculator!$B$15))</f>
        <v>0</v>
      </c>
      <c r="L173" s="85">
        <f>J173*BondCalculator!$B$7/12</f>
        <v>0</v>
      </c>
      <c r="M173" s="85">
        <f t="shared" si="25"/>
        <v>0</v>
      </c>
      <c r="N173" s="85">
        <f t="shared" si="18"/>
        <v>0</v>
      </c>
      <c r="P173" s="85">
        <f t="shared" si="19"/>
        <v>0</v>
      </c>
      <c r="Q173" s="86">
        <f>-PV(BondCalculator!$B$10/12,B173,0,1,0)</f>
        <v>0.521826134788094</v>
      </c>
      <c r="S173" s="87">
        <f t="shared" si="20"/>
        <v>0</v>
      </c>
    </row>
    <row r="174" spans="1:19" ht="15" customHeight="1">
      <c r="A174" s="82" t="s">
        <v>110</v>
      </c>
      <c r="B174" s="93">
        <v>171</v>
      </c>
      <c r="C174" s="117">
        <f t="shared" si="26"/>
        <v>0</v>
      </c>
      <c r="D174" s="117">
        <f>IF(G173=0,0,IF(G173&lt;BondCalculator!$B$13,G173+E174,BondCalculator!$B$13))</f>
        <v>0</v>
      </c>
      <c r="E174" s="117">
        <f>C174*BondCalculator!$B$7/12</f>
        <v>0</v>
      </c>
      <c r="F174" s="117">
        <f t="shared" si="21"/>
        <v>0</v>
      </c>
      <c r="G174" s="117">
        <f t="shared" si="22"/>
        <v>0</v>
      </c>
      <c r="H174" s="94">
        <f t="shared" si="23"/>
        <v>0</v>
      </c>
      <c r="J174" s="85">
        <f t="shared" si="24"/>
        <v>0</v>
      </c>
      <c r="K174" s="85">
        <f>IF(N173=0,0,IF(N173&lt;BondCalculator!$B$14+BondCalculator!$B$15,N173+L174,BondCalculator!$B$14+BondCalculator!$B$15))</f>
        <v>0</v>
      </c>
      <c r="L174" s="85">
        <f>J174*BondCalculator!$B$7/12</f>
        <v>0</v>
      </c>
      <c r="M174" s="85">
        <f t="shared" si="25"/>
        <v>0</v>
      </c>
      <c r="N174" s="85">
        <f t="shared" si="18"/>
        <v>0</v>
      </c>
      <c r="P174" s="85">
        <f t="shared" si="19"/>
        <v>0</v>
      </c>
      <c r="Q174" s="86">
        <f>-PV(BondCalculator!$B$10/12,B174,0,1,0)</f>
        <v>0.5198334399350099</v>
      </c>
      <c r="S174" s="87">
        <f t="shared" si="20"/>
        <v>0</v>
      </c>
    </row>
    <row r="175" spans="1:19" ht="15" customHeight="1">
      <c r="A175" s="82" t="s">
        <v>110</v>
      </c>
      <c r="B175" s="93">
        <v>172</v>
      </c>
      <c r="C175" s="117">
        <f t="shared" si="26"/>
        <v>0</v>
      </c>
      <c r="D175" s="117">
        <f>IF(G174=0,0,IF(G174&lt;BondCalculator!$B$13,G174+E175,BondCalculator!$B$13))</f>
        <v>0</v>
      </c>
      <c r="E175" s="117">
        <f>C175*BondCalculator!$B$7/12</f>
        <v>0</v>
      </c>
      <c r="F175" s="117">
        <f t="shared" si="21"/>
        <v>0</v>
      </c>
      <c r="G175" s="117">
        <f t="shared" si="22"/>
        <v>0</v>
      </c>
      <c r="H175" s="94">
        <f t="shared" si="23"/>
        <v>0</v>
      </c>
      <c r="J175" s="85">
        <f t="shared" si="24"/>
        <v>0</v>
      </c>
      <c r="K175" s="85">
        <f>IF(N174=0,0,IF(N174&lt;BondCalculator!$B$14+BondCalculator!$B$15,N174+L175,BondCalculator!$B$14+BondCalculator!$B$15))</f>
        <v>0</v>
      </c>
      <c r="L175" s="85">
        <f>J175*BondCalculator!$B$7/12</f>
        <v>0</v>
      </c>
      <c r="M175" s="85">
        <f t="shared" si="25"/>
        <v>0</v>
      </c>
      <c r="N175" s="85">
        <f t="shared" si="18"/>
        <v>0</v>
      </c>
      <c r="P175" s="85">
        <f t="shared" si="19"/>
        <v>0</v>
      </c>
      <c r="Q175" s="86">
        <f>-PV(BondCalculator!$B$10/12,B175,0,1,0)</f>
        <v>0.5178483545758027</v>
      </c>
      <c r="S175" s="87">
        <f t="shared" si="20"/>
        <v>0</v>
      </c>
    </row>
    <row r="176" spans="1:19" ht="15" customHeight="1">
      <c r="A176" s="82" t="s">
        <v>110</v>
      </c>
      <c r="B176" s="93">
        <v>173</v>
      </c>
      <c r="C176" s="117">
        <f t="shared" si="26"/>
        <v>0</v>
      </c>
      <c r="D176" s="117">
        <f>IF(G175=0,0,IF(G175&lt;BondCalculator!$B$13,G175+E176,BondCalculator!$B$13))</f>
        <v>0</v>
      </c>
      <c r="E176" s="117">
        <f>C176*BondCalculator!$B$7/12</f>
        <v>0</v>
      </c>
      <c r="F176" s="117">
        <f t="shared" si="21"/>
        <v>0</v>
      </c>
      <c r="G176" s="117">
        <f t="shared" si="22"/>
        <v>0</v>
      </c>
      <c r="H176" s="94">
        <f t="shared" si="23"/>
        <v>0</v>
      </c>
      <c r="J176" s="85">
        <f t="shared" si="24"/>
        <v>0</v>
      </c>
      <c r="K176" s="85">
        <f>IF(N175=0,0,IF(N175&lt;BondCalculator!$B$14+BondCalculator!$B$15,N175+L176,BondCalculator!$B$14+BondCalculator!$B$15))</f>
        <v>0</v>
      </c>
      <c r="L176" s="85">
        <f>J176*BondCalculator!$B$7/12</f>
        <v>0</v>
      </c>
      <c r="M176" s="85">
        <f t="shared" si="25"/>
        <v>0</v>
      </c>
      <c r="N176" s="85">
        <f t="shared" si="18"/>
        <v>0</v>
      </c>
      <c r="P176" s="85">
        <f t="shared" si="19"/>
        <v>0</v>
      </c>
      <c r="Q176" s="86">
        <f>-PV(BondCalculator!$B$10/12,B176,0,1,0)</f>
        <v>0.5158708496521363</v>
      </c>
      <c r="S176" s="87">
        <f t="shared" si="20"/>
        <v>0</v>
      </c>
    </row>
    <row r="177" spans="1:19" ht="15" customHeight="1">
      <c r="A177" s="82" t="s">
        <v>110</v>
      </c>
      <c r="B177" s="93">
        <v>174</v>
      </c>
      <c r="C177" s="117">
        <f t="shared" si="26"/>
        <v>0</v>
      </c>
      <c r="D177" s="117">
        <f>IF(G176=0,0,IF(G176&lt;BondCalculator!$B$13,G176+E177,BondCalculator!$B$13))</f>
        <v>0</v>
      </c>
      <c r="E177" s="117">
        <f>C177*BondCalculator!$B$7/12</f>
        <v>0</v>
      </c>
      <c r="F177" s="117">
        <f t="shared" si="21"/>
        <v>0</v>
      </c>
      <c r="G177" s="117">
        <f t="shared" si="22"/>
        <v>0</v>
      </c>
      <c r="H177" s="94">
        <f t="shared" si="23"/>
        <v>0</v>
      </c>
      <c r="J177" s="85">
        <f t="shared" si="24"/>
        <v>0</v>
      </c>
      <c r="K177" s="85">
        <f>IF(N176=0,0,IF(N176&lt;BondCalculator!$B$14+BondCalculator!$B$15,N176+L177,BondCalculator!$B$14+BondCalculator!$B$15))</f>
        <v>0</v>
      </c>
      <c r="L177" s="85">
        <f>J177*BondCalculator!$B$7/12</f>
        <v>0</v>
      </c>
      <c r="M177" s="85">
        <f t="shared" si="25"/>
        <v>0</v>
      </c>
      <c r="N177" s="85">
        <f t="shared" si="18"/>
        <v>0</v>
      </c>
      <c r="P177" s="85">
        <f t="shared" si="19"/>
        <v>0</v>
      </c>
      <c r="Q177" s="86">
        <f>-PV(BondCalculator!$B$10/12,B177,0,1,0)</f>
        <v>0.513900896216639</v>
      </c>
      <c r="S177" s="87">
        <f t="shared" si="20"/>
        <v>0</v>
      </c>
    </row>
    <row r="178" spans="1:19" ht="15" customHeight="1">
      <c r="A178" s="82" t="s">
        <v>110</v>
      </c>
      <c r="B178" s="93">
        <v>175</v>
      </c>
      <c r="C178" s="117">
        <f t="shared" si="26"/>
        <v>0</v>
      </c>
      <c r="D178" s="117">
        <f>IF(G177=0,0,IF(G177&lt;BondCalculator!$B$13,G177+E178,BondCalculator!$B$13))</f>
        <v>0</v>
      </c>
      <c r="E178" s="117">
        <f>C178*BondCalculator!$B$7/12</f>
        <v>0</v>
      </c>
      <c r="F178" s="117">
        <f t="shared" si="21"/>
        <v>0</v>
      </c>
      <c r="G178" s="117">
        <f t="shared" si="22"/>
        <v>0</v>
      </c>
      <c r="H178" s="94">
        <f t="shared" si="23"/>
        <v>0</v>
      </c>
      <c r="J178" s="85">
        <f t="shared" si="24"/>
        <v>0</v>
      </c>
      <c r="K178" s="85">
        <f>IF(N177=0,0,IF(N177&lt;BondCalculator!$B$14+BondCalculator!$B$15,N177+L178,BondCalculator!$B$14+BondCalculator!$B$15))</f>
        <v>0</v>
      </c>
      <c r="L178" s="85">
        <f>J178*BondCalculator!$B$7/12</f>
        <v>0</v>
      </c>
      <c r="M178" s="85">
        <f t="shared" si="25"/>
        <v>0</v>
      </c>
      <c r="N178" s="85">
        <f t="shared" si="18"/>
        <v>0</v>
      </c>
      <c r="P178" s="85">
        <f t="shared" si="19"/>
        <v>0</v>
      </c>
      <c r="Q178" s="86">
        <f>-PV(BondCalculator!$B$10/12,B178,0,1,0)</f>
        <v>0.5119384654324811</v>
      </c>
      <c r="S178" s="87">
        <f t="shared" si="20"/>
        <v>0</v>
      </c>
    </row>
    <row r="179" spans="1:19" ht="15" customHeight="1">
      <c r="A179" s="82" t="s">
        <v>110</v>
      </c>
      <c r="B179" s="93">
        <v>176</v>
      </c>
      <c r="C179" s="117">
        <f t="shared" si="26"/>
        <v>0</v>
      </c>
      <c r="D179" s="117">
        <f>IF(G178=0,0,IF(G178&lt;BondCalculator!$B$13,G178+E179,BondCalculator!$B$13))</f>
        <v>0</v>
      </c>
      <c r="E179" s="117">
        <f>C179*BondCalculator!$B$7/12</f>
        <v>0</v>
      </c>
      <c r="F179" s="117">
        <f t="shared" si="21"/>
        <v>0</v>
      </c>
      <c r="G179" s="117">
        <f t="shared" si="22"/>
        <v>0</v>
      </c>
      <c r="H179" s="94">
        <f t="shared" si="23"/>
        <v>0</v>
      </c>
      <c r="J179" s="85">
        <f t="shared" si="24"/>
        <v>0</v>
      </c>
      <c r="K179" s="85">
        <f>IF(N178=0,0,IF(N178&lt;BondCalculator!$B$14+BondCalculator!$B$15,N178+L179,BondCalculator!$B$14+BondCalculator!$B$15))</f>
        <v>0</v>
      </c>
      <c r="L179" s="85">
        <f>J179*BondCalculator!$B$7/12</f>
        <v>0</v>
      </c>
      <c r="M179" s="85">
        <f t="shared" si="25"/>
        <v>0</v>
      </c>
      <c r="N179" s="85">
        <f t="shared" si="18"/>
        <v>0</v>
      </c>
      <c r="P179" s="85">
        <f t="shared" si="19"/>
        <v>0</v>
      </c>
      <c r="Q179" s="86">
        <f>-PV(BondCalculator!$B$10/12,B179,0,1,0)</f>
        <v>0.5099835285729516</v>
      </c>
      <c r="S179" s="87">
        <f t="shared" si="20"/>
        <v>0</v>
      </c>
    </row>
    <row r="180" spans="1:19" ht="15" customHeight="1">
      <c r="A180" s="82" t="s">
        <v>110</v>
      </c>
      <c r="B180" s="93">
        <v>177</v>
      </c>
      <c r="C180" s="117">
        <f t="shared" si="26"/>
        <v>0</v>
      </c>
      <c r="D180" s="117">
        <f>IF(G179=0,0,IF(G179&lt;BondCalculator!$B$13,G179+E180,BondCalculator!$B$13))</f>
        <v>0</v>
      </c>
      <c r="E180" s="117">
        <f>C180*BondCalculator!$B$7/12</f>
        <v>0</v>
      </c>
      <c r="F180" s="117">
        <f t="shared" si="21"/>
        <v>0</v>
      </c>
      <c r="G180" s="117">
        <f t="shared" si="22"/>
        <v>0</v>
      </c>
      <c r="H180" s="94">
        <f t="shared" si="23"/>
        <v>0</v>
      </c>
      <c r="J180" s="85">
        <f t="shared" si="24"/>
        <v>0</v>
      </c>
      <c r="K180" s="85">
        <f>IF(N179=0,0,IF(N179&lt;BondCalculator!$B$14+BondCalculator!$B$15,N179+L180,BondCalculator!$B$14+BondCalculator!$B$15))</f>
        <v>0</v>
      </c>
      <c r="L180" s="85">
        <f>J180*BondCalculator!$B$7/12</f>
        <v>0</v>
      </c>
      <c r="M180" s="85">
        <f t="shared" si="25"/>
        <v>0</v>
      </c>
      <c r="N180" s="85">
        <f t="shared" si="18"/>
        <v>0</v>
      </c>
      <c r="P180" s="85">
        <f t="shared" si="19"/>
        <v>0</v>
      </c>
      <c r="Q180" s="86">
        <f>-PV(BondCalculator!$B$10/12,B180,0,1,0)</f>
        <v>0.5080360570210376</v>
      </c>
      <c r="S180" s="87">
        <f t="shared" si="20"/>
        <v>0</v>
      </c>
    </row>
    <row r="181" spans="1:19" ht="15" customHeight="1">
      <c r="A181" s="82" t="s">
        <v>110</v>
      </c>
      <c r="B181" s="93">
        <v>178</v>
      </c>
      <c r="C181" s="117">
        <f t="shared" si="26"/>
        <v>0</v>
      </c>
      <c r="D181" s="117">
        <f>IF(G180=0,0,IF(G180&lt;BondCalculator!$B$13,G180+E181,BondCalculator!$B$13))</f>
        <v>0</v>
      </c>
      <c r="E181" s="117">
        <f>C181*BondCalculator!$B$7/12</f>
        <v>0</v>
      </c>
      <c r="F181" s="117">
        <f t="shared" si="21"/>
        <v>0</v>
      </c>
      <c r="G181" s="117">
        <f t="shared" si="22"/>
        <v>0</v>
      </c>
      <c r="H181" s="94">
        <f t="shared" si="23"/>
        <v>0</v>
      </c>
      <c r="J181" s="85">
        <f t="shared" si="24"/>
        <v>0</v>
      </c>
      <c r="K181" s="85">
        <f>IF(N180=0,0,IF(N180&lt;BondCalculator!$B$14+BondCalculator!$B$15,N180+L181,BondCalculator!$B$14+BondCalculator!$B$15))</f>
        <v>0</v>
      </c>
      <c r="L181" s="85">
        <f>J181*BondCalculator!$B$7/12</f>
        <v>0</v>
      </c>
      <c r="M181" s="85">
        <f t="shared" si="25"/>
        <v>0</v>
      </c>
      <c r="N181" s="85">
        <f t="shared" si="18"/>
        <v>0</v>
      </c>
      <c r="P181" s="85">
        <f t="shared" si="19"/>
        <v>0</v>
      </c>
      <c r="Q181" s="86">
        <f>-PV(BondCalculator!$B$10/12,B181,0,1,0)</f>
        <v>0.5060960222690065</v>
      </c>
      <c r="S181" s="87">
        <f t="shared" si="20"/>
        <v>0</v>
      </c>
    </row>
    <row r="182" spans="1:19" ht="15" customHeight="1">
      <c r="A182" s="82" t="s">
        <v>110</v>
      </c>
      <c r="B182" s="93">
        <v>179</v>
      </c>
      <c r="C182" s="117">
        <f t="shared" si="26"/>
        <v>0</v>
      </c>
      <c r="D182" s="117">
        <f>IF(G181=0,0,IF(G181&lt;BondCalculator!$B$13,G181+E182,BondCalculator!$B$13))</f>
        <v>0</v>
      </c>
      <c r="E182" s="117">
        <f>C182*BondCalculator!$B$7/12</f>
        <v>0</v>
      </c>
      <c r="F182" s="117">
        <f t="shared" si="21"/>
        <v>0</v>
      </c>
      <c r="G182" s="117">
        <f t="shared" si="22"/>
        <v>0</v>
      </c>
      <c r="H182" s="94">
        <f t="shared" si="23"/>
        <v>0</v>
      </c>
      <c r="J182" s="85">
        <f t="shared" si="24"/>
        <v>0</v>
      </c>
      <c r="K182" s="85">
        <f>IF(N181=0,0,IF(N181&lt;BondCalculator!$B$14+BondCalculator!$B$15,N181+L182,BondCalculator!$B$14+BondCalculator!$B$15))</f>
        <v>0</v>
      </c>
      <c r="L182" s="85">
        <f>J182*BondCalculator!$B$7/12</f>
        <v>0</v>
      </c>
      <c r="M182" s="85">
        <f t="shared" si="25"/>
        <v>0</v>
      </c>
      <c r="N182" s="85">
        <f t="shared" si="18"/>
        <v>0</v>
      </c>
      <c r="P182" s="85">
        <f t="shared" si="19"/>
        <v>0</v>
      </c>
      <c r="Q182" s="86">
        <f>-PV(BondCalculator!$B$10/12,B182,0,1,0)</f>
        <v>0.5041633959179874</v>
      </c>
      <c r="S182" s="87">
        <f t="shared" si="20"/>
        <v>0</v>
      </c>
    </row>
    <row r="183" spans="1:19" ht="15" customHeight="1">
      <c r="A183" s="82" t="s">
        <v>110</v>
      </c>
      <c r="B183" s="93">
        <v>180</v>
      </c>
      <c r="C183" s="117">
        <f t="shared" si="26"/>
        <v>0</v>
      </c>
      <c r="D183" s="117">
        <f>IF(G182=0,0,IF(G182&lt;BondCalculator!$B$13,G182+E183,BondCalculator!$B$13))</f>
        <v>0</v>
      </c>
      <c r="E183" s="117">
        <f>C183*BondCalculator!$B$7/12</f>
        <v>0</v>
      </c>
      <c r="F183" s="117">
        <f t="shared" si="21"/>
        <v>0</v>
      </c>
      <c r="G183" s="117">
        <f t="shared" si="22"/>
        <v>0</v>
      </c>
      <c r="H183" s="94">
        <f t="shared" si="23"/>
        <v>0</v>
      </c>
      <c r="J183" s="85">
        <f t="shared" si="24"/>
        <v>0</v>
      </c>
      <c r="K183" s="85">
        <f>IF(N182=0,0,IF(N182&lt;BondCalculator!$B$14+BondCalculator!$B$15,N182+L183,BondCalculator!$B$14+BondCalculator!$B$15))</f>
        <v>0</v>
      </c>
      <c r="L183" s="85">
        <f>J183*BondCalculator!$B$7/12</f>
        <v>0</v>
      </c>
      <c r="M183" s="85">
        <f t="shared" si="25"/>
        <v>0</v>
      </c>
      <c r="N183" s="85">
        <f t="shared" si="18"/>
        <v>0</v>
      </c>
      <c r="P183" s="85">
        <f t="shared" si="19"/>
        <v>0</v>
      </c>
      <c r="Q183" s="86">
        <f>-PV(BondCalculator!$B$10/12,B183,0,1,0)</f>
        <v>0.5022381496775569</v>
      </c>
      <c r="S183" s="87">
        <f t="shared" si="20"/>
        <v>0</v>
      </c>
    </row>
    <row r="184" spans="1:19" ht="15" customHeight="1">
      <c r="A184" s="82" t="s">
        <v>111</v>
      </c>
      <c r="B184" s="93">
        <v>181</v>
      </c>
      <c r="C184" s="117">
        <f t="shared" si="26"/>
        <v>0</v>
      </c>
      <c r="D184" s="117">
        <f>IF(G183=0,0,IF(G183&lt;BondCalculator!$B$13,G183+E184,BondCalculator!$B$13))</f>
        <v>0</v>
      </c>
      <c r="E184" s="117">
        <f>C184*BondCalculator!$B$7/12</f>
        <v>0</v>
      </c>
      <c r="F184" s="117">
        <f t="shared" si="21"/>
        <v>0</v>
      </c>
      <c r="G184" s="117">
        <f t="shared" si="22"/>
        <v>0</v>
      </c>
      <c r="H184" s="94">
        <f t="shared" si="23"/>
        <v>0</v>
      </c>
      <c r="J184" s="85">
        <f t="shared" si="24"/>
        <v>0</v>
      </c>
      <c r="K184" s="85">
        <f>IF(N183=0,0,IF(N183&lt;BondCalculator!$B$14+BondCalculator!$B$15,N183+L184,BondCalculator!$B$14+BondCalculator!$B$15))</f>
        <v>0</v>
      </c>
      <c r="L184" s="85">
        <f>J184*BondCalculator!$B$7/12</f>
        <v>0</v>
      </c>
      <c r="M184" s="85">
        <f t="shared" si="25"/>
        <v>0</v>
      </c>
      <c r="N184" s="85">
        <f t="shared" si="18"/>
        <v>0</v>
      </c>
      <c r="P184" s="85">
        <f t="shared" si="19"/>
        <v>0</v>
      </c>
      <c r="Q184" s="86">
        <f>-PV(BondCalculator!$B$10/12,B184,0,1,0)</f>
        <v>0.5003202553653232</v>
      </c>
      <c r="S184" s="87">
        <f t="shared" si="20"/>
        <v>0</v>
      </c>
    </row>
    <row r="185" spans="1:19" ht="15" customHeight="1">
      <c r="A185" s="82" t="s">
        <v>111</v>
      </c>
      <c r="B185" s="93">
        <v>182</v>
      </c>
      <c r="C185" s="117">
        <f t="shared" si="26"/>
        <v>0</v>
      </c>
      <c r="D185" s="117">
        <f>IF(G184=0,0,IF(G184&lt;BondCalculator!$B$13,G184+E185,BondCalculator!$B$13))</f>
        <v>0</v>
      </c>
      <c r="E185" s="117">
        <f>C185*BondCalculator!$B$7/12</f>
        <v>0</v>
      </c>
      <c r="F185" s="117">
        <f t="shared" si="21"/>
        <v>0</v>
      </c>
      <c r="G185" s="117">
        <f t="shared" si="22"/>
        <v>0</v>
      </c>
      <c r="H185" s="94">
        <f t="shared" si="23"/>
        <v>0</v>
      </c>
      <c r="J185" s="85">
        <f t="shared" si="24"/>
        <v>0</v>
      </c>
      <c r="K185" s="85">
        <f>IF(N184=0,0,IF(N184&lt;BondCalculator!$B$14+BondCalculator!$B$15,N184+L185,BondCalculator!$B$14+BondCalculator!$B$15))</f>
        <v>0</v>
      </c>
      <c r="L185" s="85">
        <f>J185*BondCalculator!$B$7/12</f>
        <v>0</v>
      </c>
      <c r="M185" s="85">
        <f t="shared" si="25"/>
        <v>0</v>
      </c>
      <c r="N185" s="85">
        <f t="shared" si="18"/>
        <v>0</v>
      </c>
      <c r="P185" s="85">
        <f t="shared" si="19"/>
        <v>0</v>
      </c>
      <c r="Q185" s="86">
        <f>-PV(BondCalculator!$B$10/12,B185,0,1,0)</f>
        <v>0.49840968490651477</v>
      </c>
      <c r="S185" s="87">
        <f t="shared" si="20"/>
        <v>0</v>
      </c>
    </row>
    <row r="186" spans="1:19" ht="15" customHeight="1">
      <c r="A186" s="82" t="s">
        <v>111</v>
      </c>
      <c r="B186" s="93">
        <v>183</v>
      </c>
      <c r="C186" s="117">
        <f t="shared" si="26"/>
        <v>0</v>
      </c>
      <c r="D186" s="117">
        <f>IF(G185=0,0,IF(G185&lt;BondCalculator!$B$13,G185+E186,BondCalculator!$B$13))</f>
        <v>0</v>
      </c>
      <c r="E186" s="117">
        <f>C186*BondCalculator!$B$7/12</f>
        <v>0</v>
      </c>
      <c r="F186" s="117">
        <f t="shared" si="21"/>
        <v>0</v>
      </c>
      <c r="G186" s="117">
        <f t="shared" si="22"/>
        <v>0</v>
      </c>
      <c r="H186" s="94">
        <f t="shared" si="23"/>
        <v>0</v>
      </c>
      <c r="J186" s="85">
        <f t="shared" si="24"/>
        <v>0</v>
      </c>
      <c r="K186" s="85">
        <f>IF(N185=0,0,IF(N185&lt;BondCalculator!$B$14+BondCalculator!$B$15,N185+L186,BondCalculator!$B$14+BondCalculator!$B$15))</f>
        <v>0</v>
      </c>
      <c r="L186" s="85">
        <f>J186*BondCalculator!$B$7/12</f>
        <v>0</v>
      </c>
      <c r="M186" s="85">
        <f t="shared" si="25"/>
        <v>0</v>
      </c>
      <c r="N186" s="85">
        <f t="shared" si="18"/>
        <v>0</v>
      </c>
      <c r="P186" s="85">
        <f t="shared" si="19"/>
        <v>0</v>
      </c>
      <c r="Q186" s="86">
        <f>-PV(BondCalculator!$B$10/12,B186,0,1,0)</f>
        <v>0.49650641033356946</v>
      </c>
      <c r="S186" s="87">
        <f t="shared" si="20"/>
        <v>0</v>
      </c>
    </row>
    <row r="187" spans="1:19" ht="15" customHeight="1">
      <c r="A187" s="82" t="s">
        <v>111</v>
      </c>
      <c r="B187" s="93">
        <v>184</v>
      </c>
      <c r="C187" s="117">
        <f t="shared" si="26"/>
        <v>0</v>
      </c>
      <c r="D187" s="117">
        <f>IF(G186=0,0,IF(G186&lt;BondCalculator!$B$13,G186+E187,BondCalculator!$B$13))</f>
        <v>0</v>
      </c>
      <c r="E187" s="117">
        <f>C187*BondCalculator!$B$7/12</f>
        <v>0</v>
      </c>
      <c r="F187" s="117">
        <f t="shared" si="21"/>
        <v>0</v>
      </c>
      <c r="G187" s="117">
        <f t="shared" si="22"/>
        <v>0</v>
      </c>
      <c r="H187" s="94">
        <f t="shared" si="23"/>
        <v>0</v>
      </c>
      <c r="J187" s="85">
        <f t="shared" si="24"/>
        <v>0</v>
      </c>
      <c r="K187" s="85">
        <f>IF(N186=0,0,IF(N186&lt;BondCalculator!$B$14+BondCalculator!$B$15,N186+L187,BondCalculator!$B$14+BondCalculator!$B$15))</f>
        <v>0</v>
      </c>
      <c r="L187" s="85">
        <f>J187*BondCalculator!$B$7/12</f>
        <v>0</v>
      </c>
      <c r="M187" s="85">
        <f t="shared" si="25"/>
        <v>0</v>
      </c>
      <c r="N187" s="85">
        <f t="shared" si="18"/>
        <v>0</v>
      </c>
      <c r="P187" s="85">
        <f t="shared" si="19"/>
        <v>0</v>
      </c>
      <c r="Q187" s="86">
        <f>-PV(BondCalculator!$B$10/12,B187,0,1,0)</f>
        <v>0.4946104037857242</v>
      </c>
      <c r="S187" s="87">
        <f t="shared" si="20"/>
        <v>0</v>
      </c>
    </row>
    <row r="188" spans="1:19" ht="15" customHeight="1">
      <c r="A188" s="82" t="s">
        <v>111</v>
      </c>
      <c r="B188" s="93">
        <v>185</v>
      </c>
      <c r="C188" s="117">
        <f t="shared" si="26"/>
        <v>0</v>
      </c>
      <c r="D188" s="117">
        <f>IF(G187=0,0,IF(G187&lt;BondCalculator!$B$13,G187+E188,BondCalculator!$B$13))</f>
        <v>0</v>
      </c>
      <c r="E188" s="117">
        <f>C188*BondCalculator!$B$7/12</f>
        <v>0</v>
      </c>
      <c r="F188" s="117">
        <f t="shared" si="21"/>
        <v>0</v>
      </c>
      <c r="G188" s="117">
        <f t="shared" si="22"/>
        <v>0</v>
      </c>
      <c r="H188" s="94">
        <f t="shared" si="23"/>
        <v>0</v>
      </c>
      <c r="J188" s="85">
        <f t="shared" si="24"/>
        <v>0</v>
      </c>
      <c r="K188" s="85">
        <f>IF(N187=0,0,IF(N187&lt;BondCalculator!$B$14+BondCalculator!$B$15,N187+L188,BondCalculator!$B$14+BondCalculator!$B$15))</f>
        <v>0</v>
      </c>
      <c r="L188" s="85">
        <f>J188*BondCalculator!$B$7/12</f>
        <v>0</v>
      </c>
      <c r="M188" s="85">
        <f t="shared" si="25"/>
        <v>0</v>
      </c>
      <c r="N188" s="85">
        <f t="shared" si="18"/>
        <v>0</v>
      </c>
      <c r="P188" s="85">
        <f t="shared" si="19"/>
        <v>0</v>
      </c>
      <c r="Q188" s="86">
        <f>-PV(BondCalculator!$B$10/12,B188,0,1,0)</f>
        <v>0.4927216375086078</v>
      </c>
      <c r="S188" s="87">
        <f t="shared" si="20"/>
        <v>0</v>
      </c>
    </row>
    <row r="189" spans="1:19" ht="15" customHeight="1">
      <c r="A189" s="82" t="s">
        <v>111</v>
      </c>
      <c r="B189" s="93">
        <v>186</v>
      </c>
      <c r="C189" s="117">
        <f t="shared" si="26"/>
        <v>0</v>
      </c>
      <c r="D189" s="117">
        <f>IF(G188=0,0,IF(G188&lt;BondCalculator!$B$13,G188+E189,BondCalculator!$B$13))</f>
        <v>0</v>
      </c>
      <c r="E189" s="117">
        <f>C189*BondCalculator!$B$7/12</f>
        <v>0</v>
      </c>
      <c r="F189" s="117">
        <f t="shared" si="21"/>
        <v>0</v>
      </c>
      <c r="G189" s="117">
        <f t="shared" si="22"/>
        <v>0</v>
      </c>
      <c r="H189" s="94">
        <f t="shared" si="23"/>
        <v>0</v>
      </c>
      <c r="J189" s="85">
        <f t="shared" si="24"/>
        <v>0</v>
      </c>
      <c r="K189" s="85">
        <f>IF(N188=0,0,IF(N188&lt;BondCalculator!$B$14+BondCalculator!$B$15,N188+L189,BondCalculator!$B$14+BondCalculator!$B$15))</f>
        <v>0</v>
      </c>
      <c r="L189" s="85">
        <f>J189*BondCalculator!$B$7/12</f>
        <v>0</v>
      </c>
      <c r="M189" s="85">
        <f t="shared" si="25"/>
        <v>0</v>
      </c>
      <c r="N189" s="85">
        <f t="shared" si="18"/>
        <v>0</v>
      </c>
      <c r="P189" s="85">
        <f t="shared" si="19"/>
        <v>0</v>
      </c>
      <c r="Q189" s="86">
        <f>-PV(BondCalculator!$B$10/12,B189,0,1,0)</f>
        <v>0.49084008385383476</v>
      </c>
      <c r="S189" s="87">
        <f t="shared" si="20"/>
        <v>0</v>
      </c>
    </row>
    <row r="190" spans="1:19" ht="15" customHeight="1">
      <c r="A190" s="82" t="s">
        <v>111</v>
      </c>
      <c r="B190" s="93">
        <v>187</v>
      </c>
      <c r="C190" s="117">
        <f t="shared" si="26"/>
        <v>0</v>
      </c>
      <c r="D190" s="117">
        <f>IF(G189=0,0,IF(G189&lt;BondCalculator!$B$13,G189+E190,BondCalculator!$B$13))</f>
        <v>0</v>
      </c>
      <c r="E190" s="117">
        <f>C190*BondCalculator!$B$7/12</f>
        <v>0</v>
      </c>
      <c r="F190" s="117">
        <f t="shared" si="21"/>
        <v>0</v>
      </c>
      <c r="G190" s="117">
        <f t="shared" si="22"/>
        <v>0</v>
      </c>
      <c r="H190" s="94">
        <f t="shared" si="23"/>
        <v>0</v>
      </c>
      <c r="J190" s="85">
        <f t="shared" si="24"/>
        <v>0</v>
      </c>
      <c r="K190" s="85">
        <f>IF(N189=0,0,IF(N189&lt;BondCalculator!$B$14+BondCalculator!$B$15,N189+L190,BondCalculator!$B$14+BondCalculator!$B$15))</f>
        <v>0</v>
      </c>
      <c r="L190" s="85">
        <f>J190*BondCalculator!$B$7/12</f>
        <v>0</v>
      </c>
      <c r="M190" s="85">
        <f t="shared" si="25"/>
        <v>0</v>
      </c>
      <c r="N190" s="85">
        <f t="shared" si="18"/>
        <v>0</v>
      </c>
      <c r="P190" s="85">
        <f t="shared" si="19"/>
        <v>0</v>
      </c>
      <c r="Q190" s="86">
        <f>-PV(BondCalculator!$B$10/12,B190,0,1,0)</f>
        <v>0.4889657152786003</v>
      </c>
      <c r="S190" s="87">
        <f t="shared" si="20"/>
        <v>0</v>
      </c>
    </row>
    <row r="191" spans="1:19" ht="15" customHeight="1">
      <c r="A191" s="82" t="s">
        <v>111</v>
      </c>
      <c r="B191" s="93">
        <v>188</v>
      </c>
      <c r="C191" s="117">
        <f t="shared" si="26"/>
        <v>0</v>
      </c>
      <c r="D191" s="117">
        <f>IF(G190=0,0,IF(G190&lt;BondCalculator!$B$13,G190+E191,BondCalculator!$B$13))</f>
        <v>0</v>
      </c>
      <c r="E191" s="117">
        <f>C191*BondCalculator!$B$7/12</f>
        <v>0</v>
      </c>
      <c r="F191" s="117">
        <f t="shared" si="21"/>
        <v>0</v>
      </c>
      <c r="G191" s="117">
        <f t="shared" si="22"/>
        <v>0</v>
      </c>
      <c r="H191" s="94">
        <f t="shared" si="23"/>
        <v>0</v>
      </c>
      <c r="J191" s="85">
        <f t="shared" si="24"/>
        <v>0</v>
      </c>
      <c r="K191" s="85">
        <f>IF(N190=0,0,IF(N190&lt;BondCalculator!$B$14+BondCalculator!$B$15,N190+L191,BondCalculator!$B$14+BondCalculator!$B$15))</f>
        <v>0</v>
      </c>
      <c r="L191" s="85">
        <f>J191*BondCalculator!$B$7/12</f>
        <v>0</v>
      </c>
      <c r="M191" s="85">
        <f t="shared" si="25"/>
        <v>0</v>
      </c>
      <c r="N191" s="85">
        <f t="shared" si="18"/>
        <v>0</v>
      </c>
      <c r="P191" s="85">
        <f t="shared" si="19"/>
        <v>0</v>
      </c>
      <c r="Q191" s="86">
        <f>-PV(BondCalculator!$B$10/12,B191,0,1,0)</f>
        <v>0.4870985043452767</v>
      </c>
      <c r="S191" s="87">
        <f t="shared" si="20"/>
        <v>0</v>
      </c>
    </row>
    <row r="192" spans="1:19" ht="15" customHeight="1">
      <c r="A192" s="82" t="s">
        <v>111</v>
      </c>
      <c r="B192" s="93">
        <v>189</v>
      </c>
      <c r="C192" s="117">
        <f t="shared" si="26"/>
        <v>0</v>
      </c>
      <c r="D192" s="117">
        <f>IF(G191=0,0,IF(G191&lt;BondCalculator!$B$13,G191+E192,BondCalculator!$B$13))</f>
        <v>0</v>
      </c>
      <c r="E192" s="117">
        <f>C192*BondCalculator!$B$7/12</f>
        <v>0</v>
      </c>
      <c r="F192" s="117">
        <f t="shared" si="21"/>
        <v>0</v>
      </c>
      <c r="G192" s="117">
        <f t="shared" si="22"/>
        <v>0</v>
      </c>
      <c r="H192" s="94">
        <f t="shared" si="23"/>
        <v>0</v>
      </c>
      <c r="J192" s="85">
        <f t="shared" si="24"/>
        <v>0</v>
      </c>
      <c r="K192" s="85">
        <f>IF(N191=0,0,IF(N191&lt;BondCalculator!$B$14+BondCalculator!$B$15,N191+L192,BondCalculator!$B$14+BondCalculator!$B$15))</f>
        <v>0</v>
      </c>
      <c r="L192" s="85">
        <f>J192*BondCalculator!$B$7/12</f>
        <v>0</v>
      </c>
      <c r="M192" s="85">
        <f t="shared" si="25"/>
        <v>0</v>
      </c>
      <c r="N192" s="85">
        <f t="shared" si="18"/>
        <v>0</v>
      </c>
      <c r="P192" s="85">
        <f t="shared" si="19"/>
        <v>0</v>
      </c>
      <c r="Q192" s="86">
        <f>-PV(BondCalculator!$B$10/12,B192,0,1,0)</f>
        <v>0.48523842372101283</v>
      </c>
      <c r="S192" s="87">
        <f t="shared" si="20"/>
        <v>0</v>
      </c>
    </row>
    <row r="193" spans="1:19" ht="15" customHeight="1">
      <c r="A193" s="82" t="s">
        <v>111</v>
      </c>
      <c r="B193" s="93">
        <v>190</v>
      </c>
      <c r="C193" s="117">
        <f t="shared" si="26"/>
        <v>0</v>
      </c>
      <c r="D193" s="117">
        <f>IF(G192=0,0,IF(G192&lt;BondCalculator!$B$13,G192+E193,BondCalculator!$B$13))</f>
        <v>0</v>
      </c>
      <c r="E193" s="117">
        <f>C193*BondCalculator!$B$7/12</f>
        <v>0</v>
      </c>
      <c r="F193" s="117">
        <f t="shared" si="21"/>
        <v>0</v>
      </c>
      <c r="G193" s="117">
        <f t="shared" si="22"/>
        <v>0</v>
      </c>
      <c r="H193" s="94">
        <f t="shared" si="23"/>
        <v>0</v>
      </c>
      <c r="J193" s="85">
        <f t="shared" si="24"/>
        <v>0</v>
      </c>
      <c r="K193" s="85">
        <f>IF(N192=0,0,IF(N192&lt;BondCalculator!$B$14+BondCalculator!$B$15,N192+L193,BondCalculator!$B$14+BondCalculator!$B$15))</f>
        <v>0</v>
      </c>
      <c r="L193" s="85">
        <f>J193*BondCalculator!$B$7/12</f>
        <v>0</v>
      </c>
      <c r="M193" s="85">
        <f t="shared" si="25"/>
        <v>0</v>
      </c>
      <c r="N193" s="85">
        <f t="shared" si="18"/>
        <v>0</v>
      </c>
      <c r="P193" s="85">
        <f t="shared" si="19"/>
        <v>0</v>
      </c>
      <c r="Q193" s="86">
        <f>-PV(BondCalculator!$B$10/12,B193,0,1,0)</f>
        <v>0.483385446177333</v>
      </c>
      <c r="S193" s="87">
        <f t="shared" si="20"/>
        <v>0</v>
      </c>
    </row>
    <row r="194" spans="1:19" ht="15" customHeight="1">
      <c r="A194" s="82" t="s">
        <v>111</v>
      </c>
      <c r="B194" s="93">
        <v>191</v>
      </c>
      <c r="C194" s="117">
        <f t="shared" si="26"/>
        <v>0</v>
      </c>
      <c r="D194" s="117">
        <f>IF(G193=0,0,IF(G193&lt;BondCalculator!$B$13,G193+E194,BondCalculator!$B$13))</f>
        <v>0</v>
      </c>
      <c r="E194" s="117">
        <f>C194*BondCalculator!$B$7/12</f>
        <v>0</v>
      </c>
      <c r="F194" s="117">
        <f t="shared" si="21"/>
        <v>0</v>
      </c>
      <c r="G194" s="117">
        <f t="shared" si="22"/>
        <v>0</v>
      </c>
      <c r="H194" s="94">
        <f t="shared" si="23"/>
        <v>0</v>
      </c>
      <c r="J194" s="85">
        <f t="shared" si="24"/>
        <v>0</v>
      </c>
      <c r="K194" s="85">
        <f>IF(N193=0,0,IF(N193&lt;BondCalculator!$B$14+BondCalculator!$B$15,N193+L194,BondCalculator!$B$14+BondCalculator!$B$15))</f>
        <v>0</v>
      </c>
      <c r="L194" s="85">
        <f>J194*BondCalculator!$B$7/12</f>
        <v>0</v>
      </c>
      <c r="M194" s="85">
        <f t="shared" si="25"/>
        <v>0</v>
      </c>
      <c r="N194" s="85">
        <f t="shared" si="18"/>
        <v>0</v>
      </c>
      <c r="P194" s="85">
        <f t="shared" si="19"/>
        <v>0</v>
      </c>
      <c r="Q194" s="86">
        <f>-PV(BondCalculator!$B$10/12,B194,0,1,0)</f>
        <v>0.481539544589739</v>
      </c>
      <c r="S194" s="87">
        <f t="shared" si="20"/>
        <v>0</v>
      </c>
    </row>
    <row r="195" spans="1:19" ht="15" customHeight="1">
      <c r="A195" s="82" t="s">
        <v>111</v>
      </c>
      <c r="B195" s="93">
        <v>192</v>
      </c>
      <c r="C195" s="117">
        <f t="shared" si="26"/>
        <v>0</v>
      </c>
      <c r="D195" s="117">
        <f>IF(G194=0,0,IF(G194&lt;BondCalculator!$B$13,G194+E195,BondCalculator!$B$13))</f>
        <v>0</v>
      </c>
      <c r="E195" s="117">
        <f>C195*BondCalculator!$B$7/12</f>
        <v>0</v>
      </c>
      <c r="F195" s="117">
        <f t="shared" si="21"/>
        <v>0</v>
      </c>
      <c r="G195" s="117">
        <f t="shared" si="22"/>
        <v>0</v>
      </c>
      <c r="H195" s="94">
        <f t="shared" si="23"/>
        <v>0</v>
      </c>
      <c r="J195" s="85">
        <f t="shared" si="24"/>
        <v>0</v>
      </c>
      <c r="K195" s="85">
        <f>IF(N194=0,0,IF(N194&lt;BondCalculator!$B$14+BondCalculator!$B$15,N194+L195,BondCalculator!$B$14+BondCalculator!$B$15))</f>
        <v>0</v>
      </c>
      <c r="L195" s="85">
        <f>J195*BondCalculator!$B$7/12</f>
        <v>0</v>
      </c>
      <c r="M195" s="85">
        <f t="shared" si="25"/>
        <v>0</v>
      </c>
      <c r="N195" s="85">
        <f t="shared" si="18"/>
        <v>0</v>
      </c>
      <c r="P195" s="85">
        <f t="shared" si="19"/>
        <v>0</v>
      </c>
      <c r="Q195" s="86">
        <f>-PV(BondCalculator!$B$10/12,B195,0,1,0)</f>
        <v>0.4797006919373128</v>
      </c>
      <c r="S195" s="87">
        <f t="shared" si="20"/>
        <v>0</v>
      </c>
    </row>
    <row r="196" spans="1:19" ht="15" customHeight="1">
      <c r="A196" s="82" t="s">
        <v>112</v>
      </c>
      <c r="B196" s="93">
        <v>193</v>
      </c>
      <c r="C196" s="117">
        <f t="shared" si="26"/>
        <v>0</v>
      </c>
      <c r="D196" s="117">
        <f>IF(G195=0,0,IF(G195&lt;BondCalculator!$B$13,G195+E196,BondCalculator!$B$13))</f>
        <v>0</v>
      </c>
      <c r="E196" s="117">
        <f>C196*BondCalculator!$B$7/12</f>
        <v>0</v>
      </c>
      <c r="F196" s="117">
        <f t="shared" si="21"/>
        <v>0</v>
      </c>
      <c r="G196" s="117">
        <f t="shared" si="22"/>
        <v>0</v>
      </c>
      <c r="H196" s="94">
        <f t="shared" si="23"/>
        <v>0</v>
      </c>
      <c r="J196" s="85">
        <f t="shared" si="24"/>
        <v>0</v>
      </c>
      <c r="K196" s="85">
        <f>IF(N195=0,0,IF(N195&lt;BondCalculator!$B$14+BondCalculator!$B$15,N195+L196,BondCalculator!$B$14+BondCalculator!$B$15))</f>
        <v>0</v>
      </c>
      <c r="L196" s="85">
        <f>J196*BondCalculator!$B$7/12</f>
        <v>0</v>
      </c>
      <c r="M196" s="85">
        <f t="shared" si="25"/>
        <v>0</v>
      </c>
      <c r="N196" s="85">
        <f aca="true" t="shared" si="27" ref="N196:N243">J196-M196</f>
        <v>0</v>
      </c>
      <c r="P196" s="85">
        <f aca="true" t="shared" si="28" ref="P196:P243">E196-L196</f>
        <v>0</v>
      </c>
      <c r="Q196" s="86">
        <f>-PV(BondCalculator!$B$10/12,B196,0,1,0)</f>
        <v>0.47786886130232054</v>
      </c>
      <c r="S196" s="87">
        <f aca="true" t="shared" si="29" ref="S196:S259">P196*Q196</f>
        <v>0</v>
      </c>
    </row>
    <row r="197" spans="1:19" ht="15" customHeight="1">
      <c r="A197" s="82" t="s">
        <v>112</v>
      </c>
      <c r="B197" s="93">
        <v>194</v>
      </c>
      <c r="C197" s="117">
        <f t="shared" si="26"/>
        <v>0</v>
      </c>
      <c r="D197" s="117">
        <f>IF(G196=0,0,IF(G196&lt;BondCalculator!$B$13,G196+E197,BondCalculator!$B$13))</f>
        <v>0</v>
      </c>
      <c r="E197" s="117">
        <f>C197*BondCalculator!$B$7/12</f>
        <v>0</v>
      </c>
      <c r="F197" s="117">
        <f aca="true" t="shared" si="30" ref="F197:F243">D197-E197</f>
        <v>0</v>
      </c>
      <c r="G197" s="117">
        <f aca="true" t="shared" si="31" ref="G197:G260">IF(ROUND(C197-F197,0)=0,0,C197-F197)</f>
        <v>0</v>
      </c>
      <c r="H197" s="94">
        <f aca="true" t="shared" si="32" ref="H197:H260">G197/$C$4</f>
        <v>0</v>
      </c>
      <c r="J197" s="85">
        <f aca="true" t="shared" si="33" ref="J197:J243">IF(ROUND(N196,0)&gt;0,N196,0)</f>
        <v>0</v>
      </c>
      <c r="K197" s="85">
        <f>IF(N196=0,0,IF(N196&lt;BondCalculator!$B$14+BondCalculator!$B$15,N196+L197,BondCalculator!$B$14+BondCalculator!$B$15))</f>
        <v>0</v>
      </c>
      <c r="L197" s="85">
        <f>J197*BondCalculator!$B$7/12</f>
        <v>0</v>
      </c>
      <c r="M197" s="85">
        <f aca="true" t="shared" si="34" ref="M197:M243">IF(K197-L197&gt;N196,N196,K197-L197)</f>
        <v>0</v>
      </c>
      <c r="N197" s="85">
        <f t="shared" si="27"/>
        <v>0</v>
      </c>
      <c r="P197" s="85">
        <f t="shared" si="28"/>
        <v>0</v>
      </c>
      <c r="Q197" s="86">
        <f>-PV(BondCalculator!$B$10/12,B197,0,1,0)</f>
        <v>0.47604402586981964</v>
      </c>
      <c r="S197" s="87">
        <f t="shared" si="29"/>
        <v>0</v>
      </c>
    </row>
    <row r="198" spans="1:19" ht="15" customHeight="1">
      <c r="A198" s="82" t="s">
        <v>112</v>
      </c>
      <c r="B198" s="93">
        <v>195</v>
      </c>
      <c r="C198" s="117">
        <f aca="true" t="shared" si="35" ref="C198:C261">IF(ROUND(G197,0)=0,0,G197)</f>
        <v>0</v>
      </c>
      <c r="D198" s="117">
        <f>IF(G197=0,0,IF(G197&lt;BondCalculator!$B$13,G197+E198,BondCalculator!$B$13))</f>
        <v>0</v>
      </c>
      <c r="E198" s="117">
        <f>C198*BondCalculator!$B$7/12</f>
        <v>0</v>
      </c>
      <c r="F198" s="117">
        <f t="shared" si="30"/>
        <v>0</v>
      </c>
      <c r="G198" s="117">
        <f t="shared" si="31"/>
        <v>0</v>
      </c>
      <c r="H198" s="94">
        <f t="shared" si="32"/>
        <v>0</v>
      </c>
      <c r="J198" s="85">
        <f t="shared" si="33"/>
        <v>0</v>
      </c>
      <c r="K198" s="85">
        <f>IF(N197=0,0,IF(N197&lt;BondCalculator!$B$14+BondCalculator!$B$15,N197+L198,BondCalculator!$B$14+BondCalculator!$B$15))</f>
        <v>0</v>
      </c>
      <c r="L198" s="85">
        <f>J198*BondCalculator!$B$7/12</f>
        <v>0</v>
      </c>
      <c r="M198" s="85">
        <f t="shared" si="34"/>
        <v>0</v>
      </c>
      <c r="N198" s="85">
        <f t="shared" si="27"/>
        <v>0</v>
      </c>
      <c r="P198" s="85">
        <f t="shared" si="28"/>
        <v>0</v>
      </c>
      <c r="Q198" s="86">
        <f>-PV(BondCalculator!$B$10/12,B198,0,1,0)</f>
        <v>0.4742261589272651</v>
      </c>
      <c r="S198" s="87">
        <f t="shared" si="29"/>
        <v>0</v>
      </c>
    </row>
    <row r="199" spans="1:19" ht="15" customHeight="1">
      <c r="A199" s="82" t="s">
        <v>112</v>
      </c>
      <c r="B199" s="93">
        <v>196</v>
      </c>
      <c r="C199" s="117">
        <f t="shared" si="35"/>
        <v>0</v>
      </c>
      <c r="D199" s="117">
        <f>IF(G198=0,0,IF(G198&lt;BondCalculator!$B$13,G198+E199,BondCalculator!$B$13))</f>
        <v>0</v>
      </c>
      <c r="E199" s="117">
        <f>C199*BondCalculator!$B$7/12</f>
        <v>0</v>
      </c>
      <c r="F199" s="117">
        <f t="shared" si="30"/>
        <v>0</v>
      </c>
      <c r="G199" s="117">
        <f t="shared" si="31"/>
        <v>0</v>
      </c>
      <c r="H199" s="94">
        <f t="shared" si="32"/>
        <v>0</v>
      </c>
      <c r="J199" s="85">
        <f t="shared" si="33"/>
        <v>0</v>
      </c>
      <c r="K199" s="85">
        <f>IF(N198=0,0,IF(N198&lt;BondCalculator!$B$14+BondCalculator!$B$15,N198+L199,BondCalculator!$B$14+BondCalculator!$B$15))</f>
        <v>0</v>
      </c>
      <c r="L199" s="85">
        <f>J199*BondCalculator!$B$7/12</f>
        <v>0</v>
      </c>
      <c r="M199" s="85">
        <f t="shared" si="34"/>
        <v>0</v>
      </c>
      <c r="N199" s="85">
        <f t="shared" si="27"/>
        <v>0</v>
      </c>
      <c r="P199" s="85">
        <f t="shared" si="28"/>
        <v>0</v>
      </c>
      <c r="Q199" s="86">
        <f>-PV(BondCalculator!$B$10/12,B199,0,1,0)</f>
        <v>0.4724152338641194</v>
      </c>
      <c r="S199" s="87">
        <f t="shared" si="29"/>
        <v>0</v>
      </c>
    </row>
    <row r="200" spans="1:19" ht="15" customHeight="1">
      <c r="A200" s="82" t="s">
        <v>112</v>
      </c>
      <c r="B200" s="93">
        <v>197</v>
      </c>
      <c r="C200" s="117">
        <f t="shared" si="35"/>
        <v>0</v>
      </c>
      <c r="D200" s="117">
        <f>IF(G199=0,0,IF(G199&lt;BondCalculator!$B$13,G199+E200,BondCalculator!$B$13))</f>
        <v>0</v>
      </c>
      <c r="E200" s="117">
        <f>C200*BondCalculator!$B$7/12</f>
        <v>0</v>
      </c>
      <c r="F200" s="117">
        <f t="shared" si="30"/>
        <v>0</v>
      </c>
      <c r="G200" s="117">
        <f t="shared" si="31"/>
        <v>0</v>
      </c>
      <c r="H200" s="94">
        <f t="shared" si="32"/>
        <v>0</v>
      </c>
      <c r="J200" s="85">
        <f t="shared" si="33"/>
        <v>0</v>
      </c>
      <c r="K200" s="85">
        <f>IF(N199=0,0,IF(N199&lt;BondCalculator!$B$14+BondCalculator!$B$15,N199+L200,BondCalculator!$B$14+BondCalculator!$B$15))</f>
        <v>0</v>
      </c>
      <c r="L200" s="85">
        <f>J200*BondCalculator!$B$7/12</f>
        <v>0</v>
      </c>
      <c r="M200" s="85">
        <f t="shared" si="34"/>
        <v>0</v>
      </c>
      <c r="N200" s="85">
        <f t="shared" si="27"/>
        <v>0</v>
      </c>
      <c r="P200" s="85">
        <f t="shared" si="28"/>
        <v>0</v>
      </c>
      <c r="Q200" s="86">
        <f>-PV(BondCalculator!$B$10/12,B200,0,1,0)</f>
        <v>0.4706112241714621</v>
      </c>
      <c r="S200" s="87">
        <f t="shared" si="29"/>
        <v>0</v>
      </c>
    </row>
    <row r="201" spans="1:19" ht="15" customHeight="1">
      <c r="A201" s="82" t="s">
        <v>112</v>
      </c>
      <c r="B201" s="93">
        <v>198</v>
      </c>
      <c r="C201" s="117">
        <f t="shared" si="35"/>
        <v>0</v>
      </c>
      <c r="D201" s="117">
        <f>IF(G200=0,0,IF(G200&lt;BondCalculator!$B$13,G200+E201,BondCalculator!$B$13))</f>
        <v>0</v>
      </c>
      <c r="E201" s="117">
        <f>C201*BondCalculator!$B$7/12</f>
        <v>0</v>
      </c>
      <c r="F201" s="117">
        <f t="shared" si="30"/>
        <v>0</v>
      </c>
      <c r="G201" s="117">
        <f t="shared" si="31"/>
        <v>0</v>
      </c>
      <c r="H201" s="94">
        <f t="shared" si="32"/>
        <v>0</v>
      </c>
      <c r="J201" s="85">
        <f t="shared" si="33"/>
        <v>0</v>
      </c>
      <c r="K201" s="85">
        <f>IF(N200=0,0,IF(N200&lt;BondCalculator!$B$14+BondCalculator!$B$15,N200+L201,BondCalculator!$B$14+BondCalculator!$B$15))</f>
        <v>0</v>
      </c>
      <c r="L201" s="85">
        <f>J201*BondCalculator!$B$7/12</f>
        <v>0</v>
      </c>
      <c r="M201" s="85">
        <f t="shared" si="34"/>
        <v>0</v>
      </c>
      <c r="N201" s="85">
        <f t="shared" si="27"/>
        <v>0</v>
      </c>
      <c r="P201" s="85">
        <f t="shared" si="28"/>
        <v>0</v>
      </c>
      <c r="Q201" s="86">
        <f>-PV(BondCalculator!$B$10/12,B201,0,1,0)</f>
        <v>0.4688141034416026</v>
      </c>
      <c r="S201" s="87">
        <f t="shared" si="29"/>
        <v>0</v>
      </c>
    </row>
    <row r="202" spans="1:19" ht="15" customHeight="1">
      <c r="A202" s="82" t="s">
        <v>112</v>
      </c>
      <c r="B202" s="93">
        <v>199</v>
      </c>
      <c r="C202" s="117">
        <f t="shared" si="35"/>
        <v>0</v>
      </c>
      <c r="D202" s="117">
        <f>IF(G201=0,0,IF(G201&lt;BondCalculator!$B$13,G201+E202,BondCalculator!$B$13))</f>
        <v>0</v>
      </c>
      <c r="E202" s="117">
        <f>C202*BondCalculator!$B$7/12</f>
        <v>0</v>
      </c>
      <c r="F202" s="117">
        <f t="shared" si="30"/>
        <v>0</v>
      </c>
      <c r="G202" s="117">
        <f t="shared" si="31"/>
        <v>0</v>
      </c>
      <c r="H202" s="94">
        <f t="shared" si="32"/>
        <v>0</v>
      </c>
      <c r="J202" s="85">
        <f t="shared" si="33"/>
        <v>0</v>
      </c>
      <c r="K202" s="85">
        <f>IF(N201=0,0,IF(N201&lt;BondCalculator!$B$14+BondCalculator!$B$15,N201+L202,BondCalculator!$B$14+BondCalculator!$B$15))</f>
        <v>0</v>
      </c>
      <c r="L202" s="85">
        <f>J202*BondCalculator!$B$7/12</f>
        <v>0</v>
      </c>
      <c r="M202" s="85">
        <f t="shared" si="34"/>
        <v>0</v>
      </c>
      <c r="N202" s="85">
        <f t="shared" si="27"/>
        <v>0</v>
      </c>
      <c r="P202" s="85">
        <f t="shared" si="28"/>
        <v>0</v>
      </c>
      <c r="Q202" s="86">
        <f>-PV(BondCalculator!$B$10/12,B202,0,1,0)</f>
        <v>0.46702384536769304</v>
      </c>
      <c r="S202" s="87">
        <f t="shared" si="29"/>
        <v>0</v>
      </c>
    </row>
    <row r="203" spans="1:19" ht="15" customHeight="1">
      <c r="A203" s="82" t="s">
        <v>112</v>
      </c>
      <c r="B203" s="93">
        <v>200</v>
      </c>
      <c r="C203" s="117">
        <f t="shared" si="35"/>
        <v>0</v>
      </c>
      <c r="D203" s="117">
        <f>IF(G202=0,0,IF(G202&lt;BondCalculator!$B$13,G202+E203,BondCalculator!$B$13))</f>
        <v>0</v>
      </c>
      <c r="E203" s="117">
        <f>C203*BondCalculator!$B$7/12</f>
        <v>0</v>
      </c>
      <c r="F203" s="117">
        <f t="shared" si="30"/>
        <v>0</v>
      </c>
      <c r="G203" s="117">
        <f t="shared" si="31"/>
        <v>0</v>
      </c>
      <c r="H203" s="94">
        <f t="shared" si="32"/>
        <v>0</v>
      </c>
      <c r="J203" s="85">
        <f t="shared" si="33"/>
        <v>0</v>
      </c>
      <c r="K203" s="85">
        <f>IF(N202=0,0,IF(N202&lt;BondCalculator!$B$14+BondCalculator!$B$15,N202+L203,BondCalculator!$B$14+BondCalculator!$B$15))</f>
        <v>0</v>
      </c>
      <c r="L203" s="85">
        <f>J203*BondCalculator!$B$7/12</f>
        <v>0</v>
      </c>
      <c r="M203" s="85">
        <f t="shared" si="34"/>
        <v>0</v>
      </c>
      <c r="N203" s="85">
        <f t="shared" si="27"/>
        <v>0</v>
      </c>
      <c r="P203" s="85">
        <f t="shared" si="28"/>
        <v>0</v>
      </c>
      <c r="Q203" s="86">
        <f>-PV(BondCalculator!$B$10/12,B203,0,1,0)</f>
        <v>0.4652404237433437</v>
      </c>
      <c r="S203" s="87">
        <f t="shared" si="29"/>
        <v>0</v>
      </c>
    </row>
    <row r="204" spans="1:19" ht="15" customHeight="1">
      <c r="A204" s="82" t="s">
        <v>112</v>
      </c>
      <c r="B204" s="93">
        <v>201</v>
      </c>
      <c r="C204" s="117">
        <f t="shared" si="35"/>
        <v>0</v>
      </c>
      <c r="D204" s="117">
        <f>IF(G203=0,0,IF(G203&lt;BondCalculator!$B$13,G203+E204,BondCalculator!$B$13))</f>
        <v>0</v>
      </c>
      <c r="E204" s="117">
        <f>C204*BondCalculator!$B$7/12</f>
        <v>0</v>
      </c>
      <c r="F204" s="117">
        <f t="shared" si="30"/>
        <v>0</v>
      </c>
      <c r="G204" s="117">
        <f t="shared" si="31"/>
        <v>0</v>
      </c>
      <c r="H204" s="94">
        <f t="shared" si="32"/>
        <v>0</v>
      </c>
      <c r="J204" s="85">
        <f t="shared" si="33"/>
        <v>0</v>
      </c>
      <c r="K204" s="85">
        <f>IF(N203=0,0,IF(N203&lt;BondCalculator!$B$14+BondCalculator!$B$15,N203+L204,BondCalculator!$B$14+BondCalculator!$B$15))</f>
        <v>0</v>
      </c>
      <c r="L204" s="85">
        <f>J204*BondCalculator!$B$7/12</f>
        <v>0</v>
      </c>
      <c r="M204" s="85">
        <f t="shared" si="34"/>
        <v>0</v>
      </c>
      <c r="N204" s="85">
        <f t="shared" si="27"/>
        <v>0</v>
      </c>
      <c r="P204" s="85">
        <f t="shared" si="28"/>
        <v>0</v>
      </c>
      <c r="Q204" s="86">
        <f>-PV(BondCalculator!$B$10/12,B204,0,1,0)</f>
        <v>0.46346381246223833</v>
      </c>
      <c r="S204" s="87">
        <f t="shared" si="29"/>
        <v>0</v>
      </c>
    </row>
    <row r="205" spans="1:19" ht="15" customHeight="1">
      <c r="A205" s="82" t="s">
        <v>112</v>
      </c>
      <c r="B205" s="93">
        <v>202</v>
      </c>
      <c r="C205" s="117">
        <f t="shared" si="35"/>
        <v>0</v>
      </c>
      <c r="D205" s="117">
        <f>IF(G204=0,0,IF(G204&lt;BondCalculator!$B$13,G204+E205,BondCalculator!$B$13))</f>
        <v>0</v>
      </c>
      <c r="E205" s="117">
        <f>C205*BondCalculator!$B$7/12</f>
        <v>0</v>
      </c>
      <c r="F205" s="117">
        <f t="shared" si="30"/>
        <v>0</v>
      </c>
      <c r="G205" s="117">
        <f t="shared" si="31"/>
        <v>0</v>
      </c>
      <c r="H205" s="94">
        <f t="shared" si="32"/>
        <v>0</v>
      </c>
      <c r="J205" s="85">
        <f t="shared" si="33"/>
        <v>0</v>
      </c>
      <c r="K205" s="85">
        <f>IF(N204=0,0,IF(N204&lt;BondCalculator!$B$14+BondCalculator!$B$15,N204+L205,BondCalculator!$B$14+BondCalculator!$B$15))</f>
        <v>0</v>
      </c>
      <c r="L205" s="85">
        <f>J205*BondCalculator!$B$7/12</f>
        <v>0</v>
      </c>
      <c r="M205" s="85">
        <f t="shared" si="34"/>
        <v>0</v>
      </c>
      <c r="N205" s="85">
        <f t="shared" si="27"/>
        <v>0</v>
      </c>
      <c r="P205" s="85">
        <f t="shared" si="28"/>
        <v>0</v>
      </c>
      <c r="Q205" s="86">
        <f>-PV(BondCalculator!$B$10/12,B205,0,1,0)</f>
        <v>0.4616939855177537</v>
      </c>
      <c r="S205" s="87">
        <f t="shared" si="29"/>
        <v>0</v>
      </c>
    </row>
    <row r="206" spans="1:19" ht="15" customHeight="1">
      <c r="A206" s="82" t="s">
        <v>112</v>
      </c>
      <c r="B206" s="93">
        <v>203</v>
      </c>
      <c r="C206" s="117">
        <f t="shared" si="35"/>
        <v>0</v>
      </c>
      <c r="D206" s="117">
        <f>IF(G205=0,0,IF(G205&lt;BondCalculator!$B$13,G205+E206,BondCalculator!$B$13))</f>
        <v>0</v>
      </c>
      <c r="E206" s="117">
        <f>C206*BondCalculator!$B$7/12</f>
        <v>0</v>
      </c>
      <c r="F206" s="117">
        <f t="shared" si="30"/>
        <v>0</v>
      </c>
      <c r="G206" s="117">
        <f t="shared" si="31"/>
        <v>0</v>
      </c>
      <c r="H206" s="94">
        <f t="shared" si="32"/>
        <v>0</v>
      </c>
      <c r="J206" s="85">
        <f t="shared" si="33"/>
        <v>0</v>
      </c>
      <c r="K206" s="85">
        <f>IF(N205=0,0,IF(N205&lt;BondCalculator!$B$14+BondCalculator!$B$15,N205+L206,BondCalculator!$B$14+BondCalculator!$B$15))</f>
        <v>0</v>
      </c>
      <c r="L206" s="85">
        <f>J206*BondCalculator!$B$7/12</f>
        <v>0</v>
      </c>
      <c r="M206" s="85">
        <f t="shared" si="34"/>
        <v>0</v>
      </c>
      <c r="N206" s="85">
        <f t="shared" si="27"/>
        <v>0</v>
      </c>
      <c r="P206" s="85">
        <f t="shared" si="28"/>
        <v>0</v>
      </c>
      <c r="Q206" s="86">
        <f>-PV(BondCalculator!$B$10/12,B206,0,1,0)</f>
        <v>0.4599309170025771</v>
      </c>
      <c r="S206" s="87">
        <f t="shared" si="29"/>
        <v>0</v>
      </c>
    </row>
    <row r="207" spans="1:19" ht="15" customHeight="1">
      <c r="A207" s="82" t="s">
        <v>112</v>
      </c>
      <c r="B207" s="93">
        <v>204</v>
      </c>
      <c r="C207" s="117">
        <f t="shared" si="35"/>
        <v>0</v>
      </c>
      <c r="D207" s="117">
        <f>IF(G206=0,0,IF(G206&lt;BondCalculator!$B$13,G206+E207,BondCalculator!$B$13))</f>
        <v>0</v>
      </c>
      <c r="E207" s="117">
        <f>C207*BondCalculator!$B$7/12</f>
        <v>0</v>
      </c>
      <c r="F207" s="117">
        <f t="shared" si="30"/>
        <v>0</v>
      </c>
      <c r="G207" s="117">
        <f t="shared" si="31"/>
        <v>0</v>
      </c>
      <c r="H207" s="94">
        <f t="shared" si="32"/>
        <v>0</v>
      </c>
      <c r="J207" s="85">
        <f t="shared" si="33"/>
        <v>0</v>
      </c>
      <c r="K207" s="85">
        <f>IF(N206=0,0,IF(N206&lt;BondCalculator!$B$14+BondCalculator!$B$15,N206+L207,BondCalculator!$B$14+BondCalculator!$B$15))</f>
        <v>0</v>
      </c>
      <c r="L207" s="85">
        <f>J207*BondCalculator!$B$7/12</f>
        <v>0</v>
      </c>
      <c r="M207" s="85">
        <f t="shared" si="34"/>
        <v>0</v>
      </c>
      <c r="N207" s="85">
        <f t="shared" si="27"/>
        <v>0</v>
      </c>
      <c r="P207" s="85">
        <f t="shared" si="28"/>
        <v>0</v>
      </c>
      <c r="Q207" s="86">
        <f>-PV(BondCalculator!$B$10/12,B207,0,1,0)</f>
        <v>0.4581745811083286</v>
      </c>
      <c r="S207" s="87">
        <f t="shared" si="29"/>
        <v>0</v>
      </c>
    </row>
    <row r="208" spans="1:19" ht="15" customHeight="1">
      <c r="A208" s="82" t="s">
        <v>113</v>
      </c>
      <c r="B208" s="93">
        <v>205</v>
      </c>
      <c r="C208" s="117">
        <f t="shared" si="35"/>
        <v>0</v>
      </c>
      <c r="D208" s="117">
        <f>IF(G207=0,0,IF(G207&lt;BondCalculator!$B$13,G207+E208,BondCalculator!$B$13))</f>
        <v>0</v>
      </c>
      <c r="E208" s="117">
        <f>C208*BondCalculator!$B$7/12</f>
        <v>0</v>
      </c>
      <c r="F208" s="117">
        <f t="shared" si="30"/>
        <v>0</v>
      </c>
      <c r="G208" s="117">
        <f t="shared" si="31"/>
        <v>0</v>
      </c>
      <c r="H208" s="94">
        <f t="shared" si="32"/>
        <v>0</v>
      </c>
      <c r="J208" s="85">
        <f t="shared" si="33"/>
        <v>0</v>
      </c>
      <c r="K208" s="85">
        <f>IF(N207=0,0,IF(N207&lt;BondCalculator!$B$14+BondCalculator!$B$15,N207+L208,BondCalculator!$B$14+BondCalculator!$B$15))</f>
        <v>0</v>
      </c>
      <c r="L208" s="85">
        <f>J208*BondCalculator!$B$7/12</f>
        <v>0</v>
      </c>
      <c r="M208" s="85">
        <f t="shared" si="34"/>
        <v>0</v>
      </c>
      <c r="N208" s="85">
        <f t="shared" si="27"/>
        <v>0</v>
      </c>
      <c r="P208" s="85">
        <f t="shared" si="28"/>
        <v>0</v>
      </c>
      <c r="Q208" s="86">
        <f>-PV(BondCalculator!$B$10/12,B208,0,1,0)</f>
        <v>0.4564249521251821</v>
      </c>
      <c r="S208" s="87">
        <f t="shared" si="29"/>
        <v>0</v>
      </c>
    </row>
    <row r="209" spans="1:19" ht="15" customHeight="1">
      <c r="A209" s="82" t="s">
        <v>113</v>
      </c>
      <c r="B209" s="93">
        <v>206</v>
      </c>
      <c r="C209" s="117">
        <f t="shared" si="35"/>
        <v>0</v>
      </c>
      <c r="D209" s="117">
        <f>IF(G208=0,0,IF(G208&lt;BondCalculator!$B$13,G208+E209,BondCalculator!$B$13))</f>
        <v>0</v>
      </c>
      <c r="E209" s="117">
        <f>C209*BondCalculator!$B$7/12</f>
        <v>0</v>
      </c>
      <c r="F209" s="117">
        <f t="shared" si="30"/>
        <v>0</v>
      </c>
      <c r="G209" s="117">
        <f t="shared" si="31"/>
        <v>0</v>
      </c>
      <c r="H209" s="94">
        <f t="shared" si="32"/>
        <v>0</v>
      </c>
      <c r="J209" s="85">
        <f t="shared" si="33"/>
        <v>0</v>
      </c>
      <c r="K209" s="85">
        <f>IF(N208=0,0,IF(N208&lt;BondCalculator!$B$14+BondCalculator!$B$15,N208+L209,BondCalculator!$B$14+BondCalculator!$B$15))</f>
        <v>0</v>
      </c>
      <c r="L209" s="85">
        <f>J209*BondCalculator!$B$7/12</f>
        <v>0</v>
      </c>
      <c r="M209" s="85">
        <f t="shared" si="34"/>
        <v>0</v>
      </c>
      <c r="N209" s="85">
        <f t="shared" si="27"/>
        <v>0</v>
      </c>
      <c r="P209" s="85">
        <f t="shared" si="28"/>
        <v>0</v>
      </c>
      <c r="Q209" s="86">
        <f>-PV(BondCalculator!$B$10/12,B209,0,1,0)</f>
        <v>0.4546820044414896</v>
      </c>
      <c r="S209" s="87">
        <f t="shared" si="29"/>
        <v>0</v>
      </c>
    </row>
    <row r="210" spans="1:19" ht="15" customHeight="1">
      <c r="A210" s="82" t="s">
        <v>113</v>
      </c>
      <c r="B210" s="93">
        <v>207</v>
      </c>
      <c r="C210" s="117">
        <f t="shared" si="35"/>
        <v>0</v>
      </c>
      <c r="D210" s="117">
        <f>IF(G209=0,0,IF(G209&lt;BondCalculator!$B$13,G209+E210,BondCalculator!$B$13))</f>
        <v>0</v>
      </c>
      <c r="E210" s="117">
        <f>C210*BondCalculator!$B$7/12</f>
        <v>0</v>
      </c>
      <c r="F210" s="117">
        <f t="shared" si="30"/>
        <v>0</v>
      </c>
      <c r="G210" s="117">
        <f t="shared" si="31"/>
        <v>0</v>
      </c>
      <c r="H210" s="94">
        <f t="shared" si="32"/>
        <v>0</v>
      </c>
      <c r="J210" s="85">
        <f t="shared" si="33"/>
        <v>0</v>
      </c>
      <c r="K210" s="85">
        <f>IF(N209=0,0,IF(N209&lt;BondCalculator!$B$14+BondCalculator!$B$15,N209+L210,BondCalculator!$B$14+BondCalculator!$B$15))</f>
        <v>0</v>
      </c>
      <c r="L210" s="85">
        <f>J210*BondCalculator!$B$7/12</f>
        <v>0</v>
      </c>
      <c r="M210" s="85">
        <f t="shared" si="34"/>
        <v>0</v>
      </c>
      <c r="N210" s="85">
        <f t="shared" si="27"/>
        <v>0</v>
      </c>
      <c r="P210" s="85">
        <f t="shared" si="28"/>
        <v>0</v>
      </c>
      <c r="Q210" s="86">
        <f>-PV(BondCalculator!$B$10/12,B210,0,1,0)</f>
        <v>0.4529457125434066</v>
      </c>
      <c r="S210" s="87">
        <f t="shared" si="29"/>
        <v>0</v>
      </c>
    </row>
    <row r="211" spans="1:19" ht="15" customHeight="1">
      <c r="A211" s="82" t="s">
        <v>113</v>
      </c>
      <c r="B211" s="93">
        <v>208</v>
      </c>
      <c r="C211" s="117">
        <f t="shared" si="35"/>
        <v>0</v>
      </c>
      <c r="D211" s="117">
        <f>IF(G210=0,0,IF(G210&lt;BondCalculator!$B$13,G210+E211,BondCalculator!$B$13))</f>
        <v>0</v>
      </c>
      <c r="E211" s="117">
        <f>C211*BondCalculator!$B$7/12</f>
        <v>0</v>
      </c>
      <c r="F211" s="117">
        <f t="shared" si="30"/>
        <v>0</v>
      </c>
      <c r="G211" s="117">
        <f t="shared" si="31"/>
        <v>0</v>
      </c>
      <c r="H211" s="94">
        <f t="shared" si="32"/>
        <v>0</v>
      </c>
      <c r="J211" s="85">
        <f t="shared" si="33"/>
        <v>0</v>
      </c>
      <c r="K211" s="85">
        <f>IF(N210=0,0,IF(N210&lt;BondCalculator!$B$14+BondCalculator!$B$15,N210+L211,BondCalculator!$B$14+BondCalculator!$B$15))</f>
        <v>0</v>
      </c>
      <c r="L211" s="85">
        <f>J211*BondCalculator!$B$7/12</f>
        <v>0</v>
      </c>
      <c r="M211" s="85">
        <f t="shared" si="34"/>
        <v>0</v>
      </c>
      <c r="N211" s="85">
        <f t="shared" si="27"/>
        <v>0</v>
      </c>
      <c r="P211" s="85">
        <f t="shared" si="28"/>
        <v>0</v>
      </c>
      <c r="Q211" s="86">
        <f>-PV(BondCalculator!$B$10/12,B211,0,1,0)</f>
        <v>0.45121605101451767</v>
      </c>
      <c r="S211" s="87">
        <f t="shared" si="29"/>
        <v>0</v>
      </c>
    </row>
    <row r="212" spans="1:19" ht="15" customHeight="1">
      <c r="A212" s="82" t="s">
        <v>113</v>
      </c>
      <c r="B212" s="93">
        <v>209</v>
      </c>
      <c r="C212" s="117">
        <f t="shared" si="35"/>
        <v>0</v>
      </c>
      <c r="D212" s="117">
        <f>IF(G211=0,0,IF(G211&lt;BondCalculator!$B$13,G211+E212,BondCalculator!$B$13))</f>
        <v>0</v>
      </c>
      <c r="E212" s="117">
        <f>C212*BondCalculator!$B$7/12</f>
        <v>0</v>
      </c>
      <c r="F212" s="117">
        <f t="shared" si="30"/>
        <v>0</v>
      </c>
      <c r="G212" s="117">
        <f t="shared" si="31"/>
        <v>0</v>
      </c>
      <c r="H212" s="94">
        <f t="shared" si="32"/>
        <v>0</v>
      </c>
      <c r="J212" s="85">
        <f t="shared" si="33"/>
        <v>0</v>
      </c>
      <c r="K212" s="85">
        <f>IF(N211=0,0,IF(N211&lt;BondCalculator!$B$14+BondCalculator!$B$15,N211+L212,BondCalculator!$B$14+BondCalculator!$B$15))</f>
        <v>0</v>
      </c>
      <c r="L212" s="85">
        <f>J212*BondCalculator!$B$7/12</f>
        <v>0</v>
      </c>
      <c r="M212" s="85">
        <f t="shared" si="34"/>
        <v>0</v>
      </c>
      <c r="N212" s="85">
        <f t="shared" si="27"/>
        <v>0</v>
      </c>
      <c r="P212" s="85">
        <f t="shared" si="28"/>
        <v>0</v>
      </c>
      <c r="Q212" s="86">
        <f>-PV(BondCalculator!$B$10/12,B212,0,1,0)</f>
        <v>0.44949299453546504</v>
      </c>
      <c r="S212" s="87">
        <f t="shared" si="29"/>
        <v>0</v>
      </c>
    </row>
    <row r="213" spans="1:19" ht="15" customHeight="1">
      <c r="A213" s="82" t="s">
        <v>113</v>
      </c>
      <c r="B213" s="93">
        <v>210</v>
      </c>
      <c r="C213" s="117">
        <f t="shared" si="35"/>
        <v>0</v>
      </c>
      <c r="D213" s="117">
        <f>IF(G212=0,0,IF(G212&lt;BondCalculator!$B$13,G212+E213,BondCalculator!$B$13))</f>
        <v>0</v>
      </c>
      <c r="E213" s="117">
        <f>C213*BondCalculator!$B$7/12</f>
        <v>0</v>
      </c>
      <c r="F213" s="117">
        <f t="shared" si="30"/>
        <v>0</v>
      </c>
      <c r="G213" s="117">
        <f t="shared" si="31"/>
        <v>0</v>
      </c>
      <c r="H213" s="94">
        <f t="shared" si="32"/>
        <v>0</v>
      </c>
      <c r="J213" s="85">
        <f t="shared" si="33"/>
        <v>0</v>
      </c>
      <c r="K213" s="85">
        <f>IF(N212=0,0,IF(N212&lt;BondCalculator!$B$14+BondCalculator!$B$15,N212+L213,BondCalculator!$B$14+BondCalculator!$B$15))</f>
        <v>0</v>
      </c>
      <c r="L213" s="85">
        <f>J213*BondCalculator!$B$7/12</f>
        <v>0</v>
      </c>
      <c r="M213" s="85">
        <f t="shared" si="34"/>
        <v>0</v>
      </c>
      <c r="N213" s="85">
        <f t="shared" si="27"/>
        <v>0</v>
      </c>
      <c r="P213" s="85">
        <f t="shared" si="28"/>
        <v>0</v>
      </c>
      <c r="Q213" s="86">
        <f>-PV(BondCalculator!$B$10/12,B213,0,1,0)</f>
        <v>0.4477765178835781</v>
      </c>
      <c r="S213" s="87">
        <f t="shared" si="29"/>
        <v>0</v>
      </c>
    </row>
    <row r="214" spans="1:19" ht="15" customHeight="1">
      <c r="A214" s="82" t="s">
        <v>113</v>
      </c>
      <c r="B214" s="93">
        <v>211</v>
      </c>
      <c r="C214" s="117">
        <f t="shared" si="35"/>
        <v>0</v>
      </c>
      <c r="D214" s="117">
        <f>IF(G213=0,0,IF(G213&lt;BondCalculator!$B$13,G213+E214,BondCalculator!$B$13))</f>
        <v>0</v>
      </c>
      <c r="E214" s="117">
        <f>C214*BondCalculator!$B$7/12</f>
        <v>0</v>
      </c>
      <c r="F214" s="117">
        <f t="shared" si="30"/>
        <v>0</v>
      </c>
      <c r="G214" s="117">
        <f t="shared" si="31"/>
        <v>0</v>
      </c>
      <c r="H214" s="94">
        <f t="shared" si="32"/>
        <v>0</v>
      </c>
      <c r="J214" s="85">
        <f t="shared" si="33"/>
        <v>0</v>
      </c>
      <c r="K214" s="85">
        <f>IF(N213=0,0,IF(N213&lt;BondCalculator!$B$14+BondCalculator!$B$15,N213+L214,BondCalculator!$B$14+BondCalculator!$B$15))</f>
        <v>0</v>
      </c>
      <c r="L214" s="85">
        <f>J214*BondCalculator!$B$7/12</f>
        <v>0</v>
      </c>
      <c r="M214" s="85">
        <f t="shared" si="34"/>
        <v>0</v>
      </c>
      <c r="N214" s="85">
        <f t="shared" si="27"/>
        <v>0</v>
      </c>
      <c r="P214" s="85">
        <f t="shared" si="28"/>
        <v>0</v>
      </c>
      <c r="Q214" s="86">
        <f>-PV(BondCalculator!$B$10/12,B214,0,1,0)</f>
        <v>0.4460665959325034</v>
      </c>
      <c r="S214" s="87">
        <f t="shared" si="29"/>
        <v>0</v>
      </c>
    </row>
    <row r="215" spans="1:19" ht="15" customHeight="1">
      <c r="A215" s="82" t="s">
        <v>113</v>
      </c>
      <c r="B215" s="93">
        <v>212</v>
      </c>
      <c r="C215" s="117">
        <f t="shared" si="35"/>
        <v>0</v>
      </c>
      <c r="D215" s="117">
        <f>IF(G214=0,0,IF(G214&lt;BondCalculator!$B$13,G214+E215,BondCalculator!$B$13))</f>
        <v>0</v>
      </c>
      <c r="E215" s="117">
        <f>C215*BondCalculator!$B$7/12</f>
        <v>0</v>
      </c>
      <c r="F215" s="117">
        <f t="shared" si="30"/>
        <v>0</v>
      </c>
      <c r="G215" s="117">
        <f t="shared" si="31"/>
        <v>0</v>
      </c>
      <c r="H215" s="94">
        <f t="shared" si="32"/>
        <v>0</v>
      </c>
      <c r="J215" s="85">
        <f t="shared" si="33"/>
        <v>0</v>
      </c>
      <c r="K215" s="85">
        <f>IF(N214=0,0,IF(N214&lt;BondCalculator!$B$14+BondCalculator!$B$15,N214+L215,BondCalculator!$B$14+BondCalculator!$B$15))</f>
        <v>0</v>
      </c>
      <c r="L215" s="85">
        <f>J215*BondCalculator!$B$7/12</f>
        <v>0</v>
      </c>
      <c r="M215" s="85">
        <f t="shared" si="34"/>
        <v>0</v>
      </c>
      <c r="N215" s="85">
        <f t="shared" si="27"/>
        <v>0</v>
      </c>
      <c r="P215" s="85">
        <f t="shared" si="28"/>
        <v>0</v>
      </c>
      <c r="Q215" s="86">
        <f>-PV(BondCalculator!$B$10/12,B215,0,1,0)</f>
        <v>0.4443632036518381</v>
      </c>
      <c r="S215" s="87">
        <f t="shared" si="29"/>
        <v>0</v>
      </c>
    </row>
    <row r="216" spans="1:19" ht="15" customHeight="1">
      <c r="A216" s="82" t="s">
        <v>113</v>
      </c>
      <c r="B216" s="93">
        <v>213</v>
      </c>
      <c r="C216" s="117">
        <f t="shared" si="35"/>
        <v>0</v>
      </c>
      <c r="D216" s="117">
        <f>IF(G215=0,0,IF(G215&lt;BondCalculator!$B$13,G215+E216,BondCalculator!$B$13))</f>
        <v>0</v>
      </c>
      <c r="E216" s="117">
        <f>C216*BondCalculator!$B$7/12</f>
        <v>0</v>
      </c>
      <c r="F216" s="117">
        <f t="shared" si="30"/>
        <v>0</v>
      </c>
      <c r="G216" s="117">
        <f t="shared" si="31"/>
        <v>0</v>
      </c>
      <c r="H216" s="94">
        <f t="shared" si="32"/>
        <v>0</v>
      </c>
      <c r="J216" s="85">
        <f t="shared" si="33"/>
        <v>0</v>
      </c>
      <c r="K216" s="85">
        <f>IF(N215=0,0,IF(N215&lt;BondCalculator!$B$14+BondCalculator!$B$15,N215+L216,BondCalculator!$B$14+BondCalculator!$B$15))</f>
        <v>0</v>
      </c>
      <c r="L216" s="85">
        <f>J216*BondCalculator!$B$7/12</f>
        <v>0</v>
      </c>
      <c r="M216" s="85">
        <f t="shared" si="34"/>
        <v>0</v>
      </c>
      <c r="N216" s="85">
        <f t="shared" si="27"/>
        <v>0</v>
      </c>
      <c r="P216" s="85">
        <f t="shared" si="28"/>
        <v>0</v>
      </c>
      <c r="Q216" s="86">
        <f>-PV(BondCalculator!$B$10/12,B216,0,1,0)</f>
        <v>0.4426663161067621</v>
      </c>
      <c r="S216" s="87">
        <f t="shared" si="29"/>
        <v>0</v>
      </c>
    </row>
    <row r="217" spans="1:19" ht="15" customHeight="1">
      <c r="A217" s="82" t="s">
        <v>113</v>
      </c>
      <c r="B217" s="93">
        <v>214</v>
      </c>
      <c r="C217" s="117">
        <f t="shared" si="35"/>
        <v>0</v>
      </c>
      <c r="D217" s="117">
        <f>IF(G216=0,0,IF(G216&lt;BondCalculator!$B$13,G216+E217,BondCalculator!$B$13))</f>
        <v>0</v>
      </c>
      <c r="E217" s="117">
        <f>C217*BondCalculator!$B$7/12</f>
        <v>0</v>
      </c>
      <c r="F217" s="117">
        <f t="shared" si="30"/>
        <v>0</v>
      </c>
      <c r="G217" s="117">
        <f t="shared" si="31"/>
        <v>0</v>
      </c>
      <c r="H217" s="94">
        <f t="shared" si="32"/>
        <v>0</v>
      </c>
      <c r="J217" s="85">
        <f t="shared" si="33"/>
        <v>0</v>
      </c>
      <c r="K217" s="85">
        <f>IF(N216=0,0,IF(N216&lt;BondCalculator!$B$14+BondCalculator!$B$15,N216+L217,BondCalculator!$B$14+BondCalculator!$B$15))</f>
        <v>0</v>
      </c>
      <c r="L217" s="85">
        <f>J217*BondCalculator!$B$7/12</f>
        <v>0</v>
      </c>
      <c r="M217" s="85">
        <f t="shared" si="34"/>
        <v>0</v>
      </c>
      <c r="N217" s="85">
        <f t="shared" si="27"/>
        <v>0</v>
      </c>
      <c r="P217" s="85">
        <f t="shared" si="28"/>
        <v>0</v>
      </c>
      <c r="Q217" s="86">
        <f>-PV(BondCalculator!$B$10/12,B217,0,1,0)</f>
        <v>0.44097590845767437</v>
      </c>
      <c r="S217" s="87">
        <f t="shared" si="29"/>
        <v>0</v>
      </c>
    </row>
    <row r="218" spans="1:19" ht="15" customHeight="1">
      <c r="A218" s="82" t="s">
        <v>113</v>
      </c>
      <c r="B218" s="93">
        <v>215</v>
      </c>
      <c r="C218" s="117">
        <f t="shared" si="35"/>
        <v>0</v>
      </c>
      <c r="D218" s="117">
        <f>IF(G217=0,0,IF(G217&lt;BondCalculator!$B$13,G217+E218,BondCalculator!$B$13))</f>
        <v>0</v>
      </c>
      <c r="E218" s="117">
        <f>C218*BondCalculator!$B$7/12</f>
        <v>0</v>
      </c>
      <c r="F218" s="117">
        <f t="shared" si="30"/>
        <v>0</v>
      </c>
      <c r="G218" s="117">
        <f t="shared" si="31"/>
        <v>0</v>
      </c>
      <c r="H218" s="94">
        <f t="shared" si="32"/>
        <v>0</v>
      </c>
      <c r="J218" s="85">
        <f t="shared" si="33"/>
        <v>0</v>
      </c>
      <c r="K218" s="85">
        <f>IF(N217=0,0,IF(N217&lt;BondCalculator!$B$14+BondCalculator!$B$15,N217+L218,BondCalculator!$B$14+BondCalculator!$B$15))</f>
        <v>0</v>
      </c>
      <c r="L218" s="85">
        <f>J218*BondCalculator!$B$7/12</f>
        <v>0</v>
      </c>
      <c r="M218" s="85">
        <f t="shared" si="34"/>
        <v>0</v>
      </c>
      <c r="N218" s="85">
        <f t="shared" si="27"/>
        <v>0</v>
      </c>
      <c r="P218" s="85">
        <f t="shared" si="28"/>
        <v>0</v>
      </c>
      <c r="Q218" s="86">
        <f>-PV(BondCalculator!$B$10/12,B218,0,1,0)</f>
        <v>0.43929195595982845</v>
      </c>
      <c r="S218" s="87">
        <f t="shared" si="29"/>
        <v>0</v>
      </c>
    </row>
    <row r="219" spans="1:19" ht="15" customHeight="1">
      <c r="A219" s="82" t="s">
        <v>113</v>
      </c>
      <c r="B219" s="93">
        <v>216</v>
      </c>
      <c r="C219" s="117">
        <f t="shared" si="35"/>
        <v>0</v>
      </c>
      <c r="D219" s="117">
        <f>IF(G218=0,0,IF(G218&lt;BondCalculator!$B$13,G218+E219,BondCalculator!$B$13))</f>
        <v>0</v>
      </c>
      <c r="E219" s="117">
        <f>C219*BondCalculator!$B$7/12</f>
        <v>0</v>
      </c>
      <c r="F219" s="117">
        <f t="shared" si="30"/>
        <v>0</v>
      </c>
      <c r="G219" s="117">
        <f t="shared" si="31"/>
        <v>0</v>
      </c>
      <c r="H219" s="94">
        <f t="shared" si="32"/>
        <v>0</v>
      </c>
      <c r="J219" s="85">
        <f t="shared" si="33"/>
        <v>0</v>
      </c>
      <c r="K219" s="85">
        <f>IF(N218=0,0,IF(N218&lt;BondCalculator!$B$14+BondCalculator!$B$15,N218+L219,BondCalculator!$B$14+BondCalculator!$B$15))</f>
        <v>0</v>
      </c>
      <c r="L219" s="85">
        <f>J219*BondCalculator!$B$7/12</f>
        <v>0</v>
      </c>
      <c r="M219" s="85">
        <f t="shared" si="34"/>
        <v>0</v>
      </c>
      <c r="N219" s="85">
        <f t="shared" si="27"/>
        <v>0</v>
      </c>
      <c r="P219" s="85">
        <f t="shared" si="28"/>
        <v>0</v>
      </c>
      <c r="Q219" s="86">
        <f>-PV(BondCalculator!$B$10/12,B219,0,1,0)</f>
        <v>0.43761443396297034</v>
      </c>
      <c r="S219" s="87">
        <f t="shared" si="29"/>
        <v>0</v>
      </c>
    </row>
    <row r="220" spans="1:19" ht="15" customHeight="1">
      <c r="A220" s="82" t="s">
        <v>114</v>
      </c>
      <c r="B220" s="93">
        <v>217</v>
      </c>
      <c r="C220" s="117">
        <f t="shared" si="35"/>
        <v>0</v>
      </c>
      <c r="D220" s="117">
        <f>IF(G219=0,0,IF(G219&lt;BondCalculator!$B$13,G219+E220,BondCalculator!$B$13))</f>
        <v>0</v>
      </c>
      <c r="E220" s="117">
        <f>C220*BondCalculator!$B$7/12</f>
        <v>0</v>
      </c>
      <c r="F220" s="117">
        <f t="shared" si="30"/>
        <v>0</v>
      </c>
      <c r="G220" s="117">
        <f t="shared" si="31"/>
        <v>0</v>
      </c>
      <c r="H220" s="94">
        <f t="shared" si="32"/>
        <v>0</v>
      </c>
      <c r="J220" s="85">
        <f t="shared" si="33"/>
        <v>0</v>
      </c>
      <c r="K220" s="85">
        <f>IF(N219=0,0,IF(N219&lt;BondCalculator!$B$14+BondCalculator!$B$15,N219+L220,BondCalculator!$B$14+BondCalculator!$B$15))</f>
        <v>0</v>
      </c>
      <c r="L220" s="85">
        <f>J220*BondCalculator!$B$7/12</f>
        <v>0</v>
      </c>
      <c r="M220" s="85">
        <f t="shared" si="34"/>
        <v>0</v>
      </c>
      <c r="N220" s="85">
        <f t="shared" si="27"/>
        <v>0</v>
      </c>
      <c r="P220" s="85">
        <f t="shared" si="28"/>
        <v>0</v>
      </c>
      <c r="Q220" s="86">
        <f>-PV(BondCalculator!$B$10/12,B220,0,1,0)</f>
        <v>0.43594331791097823</v>
      </c>
      <c r="S220" s="87">
        <f t="shared" si="29"/>
        <v>0</v>
      </c>
    </row>
    <row r="221" spans="1:19" ht="15" customHeight="1">
      <c r="A221" s="82" t="s">
        <v>114</v>
      </c>
      <c r="B221" s="93">
        <v>218</v>
      </c>
      <c r="C221" s="117">
        <f t="shared" si="35"/>
        <v>0</v>
      </c>
      <c r="D221" s="117">
        <f>IF(G220=0,0,IF(G220&lt;BondCalculator!$B$13,G220+E221,BondCalculator!$B$13))</f>
        <v>0</v>
      </c>
      <c r="E221" s="117">
        <f>C221*BondCalculator!$B$7/12</f>
        <v>0</v>
      </c>
      <c r="F221" s="117">
        <f t="shared" si="30"/>
        <v>0</v>
      </c>
      <c r="G221" s="117">
        <f t="shared" si="31"/>
        <v>0</v>
      </c>
      <c r="H221" s="94">
        <f t="shared" si="32"/>
        <v>0</v>
      </c>
      <c r="J221" s="85">
        <f t="shared" si="33"/>
        <v>0</v>
      </c>
      <c r="K221" s="85">
        <f>IF(N220=0,0,IF(N220&lt;BondCalculator!$B$14+BondCalculator!$B$15,N220+L221,BondCalculator!$B$14+BondCalculator!$B$15))</f>
        <v>0</v>
      </c>
      <c r="L221" s="85">
        <f>J221*BondCalculator!$B$7/12</f>
        <v>0</v>
      </c>
      <c r="M221" s="85">
        <f t="shared" si="34"/>
        <v>0</v>
      </c>
      <c r="N221" s="85">
        <f t="shared" si="27"/>
        <v>0</v>
      </c>
      <c r="P221" s="85">
        <f t="shared" si="28"/>
        <v>0</v>
      </c>
      <c r="Q221" s="86">
        <f>-PV(BondCalculator!$B$10/12,B221,0,1,0)</f>
        <v>0.4342785833415025</v>
      </c>
      <c r="S221" s="87">
        <f t="shared" si="29"/>
        <v>0</v>
      </c>
    </row>
    <row r="222" spans="1:19" ht="15" customHeight="1">
      <c r="A222" s="82" t="s">
        <v>114</v>
      </c>
      <c r="B222" s="93">
        <v>219</v>
      </c>
      <c r="C222" s="117">
        <f t="shared" si="35"/>
        <v>0</v>
      </c>
      <c r="D222" s="117">
        <f>IF(G221=0,0,IF(G221&lt;BondCalculator!$B$13,G221+E222,BondCalculator!$B$13))</f>
        <v>0</v>
      </c>
      <c r="E222" s="117">
        <f>C222*BondCalculator!$B$7/12</f>
        <v>0</v>
      </c>
      <c r="F222" s="117">
        <f t="shared" si="30"/>
        <v>0</v>
      </c>
      <c r="G222" s="117">
        <f t="shared" si="31"/>
        <v>0</v>
      </c>
      <c r="H222" s="94">
        <f t="shared" si="32"/>
        <v>0</v>
      </c>
      <c r="J222" s="85">
        <f t="shared" si="33"/>
        <v>0</v>
      </c>
      <c r="K222" s="85">
        <f>IF(N221=0,0,IF(N221&lt;BondCalculator!$B$14+BondCalculator!$B$15,N221+L222,BondCalculator!$B$14+BondCalculator!$B$15))</f>
        <v>0</v>
      </c>
      <c r="L222" s="85">
        <f>J222*BondCalculator!$B$7/12</f>
        <v>0</v>
      </c>
      <c r="M222" s="85">
        <f t="shared" si="34"/>
        <v>0</v>
      </c>
      <c r="N222" s="85">
        <f t="shared" si="27"/>
        <v>0</v>
      </c>
      <c r="P222" s="85">
        <f t="shared" si="28"/>
        <v>0</v>
      </c>
      <c r="Q222" s="86">
        <f>-PV(BondCalculator!$B$10/12,B222,0,1,0)</f>
        <v>0.43262020588560773</v>
      </c>
      <c r="S222" s="87">
        <f t="shared" si="29"/>
        <v>0</v>
      </c>
    </row>
    <row r="223" spans="1:19" ht="15" customHeight="1">
      <c r="A223" s="82" t="s">
        <v>114</v>
      </c>
      <c r="B223" s="93">
        <v>220</v>
      </c>
      <c r="C223" s="117">
        <f t="shared" si="35"/>
        <v>0</v>
      </c>
      <c r="D223" s="117">
        <f>IF(G222=0,0,IF(G222&lt;BondCalculator!$B$13,G222+E223,BondCalculator!$B$13))</f>
        <v>0</v>
      </c>
      <c r="E223" s="117">
        <f>C223*BondCalculator!$B$7/12</f>
        <v>0</v>
      </c>
      <c r="F223" s="117">
        <f t="shared" si="30"/>
        <v>0</v>
      </c>
      <c r="G223" s="117">
        <f t="shared" si="31"/>
        <v>0</v>
      </c>
      <c r="H223" s="94">
        <f t="shared" si="32"/>
        <v>0</v>
      </c>
      <c r="J223" s="85">
        <f t="shared" si="33"/>
        <v>0</v>
      </c>
      <c r="K223" s="85">
        <f>IF(N222=0,0,IF(N222&lt;BondCalculator!$B$14+BondCalculator!$B$15,N222+L223,BondCalculator!$B$14+BondCalculator!$B$15))</f>
        <v>0</v>
      </c>
      <c r="L223" s="85">
        <f>J223*BondCalculator!$B$7/12</f>
        <v>0</v>
      </c>
      <c r="M223" s="85">
        <f t="shared" si="34"/>
        <v>0</v>
      </c>
      <c r="N223" s="85">
        <f t="shared" si="27"/>
        <v>0</v>
      </c>
      <c r="P223" s="85">
        <f t="shared" si="28"/>
        <v>0</v>
      </c>
      <c r="Q223" s="86">
        <f>-PV(BondCalculator!$B$10/12,B223,0,1,0)</f>
        <v>0.430968161267416</v>
      </c>
      <c r="S223" s="87">
        <f t="shared" si="29"/>
        <v>0</v>
      </c>
    </row>
    <row r="224" spans="1:19" ht="15" customHeight="1">
      <c r="A224" s="82" t="s">
        <v>114</v>
      </c>
      <c r="B224" s="93">
        <v>221</v>
      </c>
      <c r="C224" s="117">
        <f t="shared" si="35"/>
        <v>0</v>
      </c>
      <c r="D224" s="117">
        <f>IF(G223=0,0,IF(G223&lt;BondCalculator!$B$13,G223+E224,BondCalculator!$B$13))</f>
        <v>0</v>
      </c>
      <c r="E224" s="117">
        <f>C224*BondCalculator!$B$7/12</f>
        <v>0</v>
      </c>
      <c r="F224" s="117">
        <f t="shared" si="30"/>
        <v>0</v>
      </c>
      <c r="G224" s="117">
        <f t="shared" si="31"/>
        <v>0</v>
      </c>
      <c r="H224" s="94">
        <f t="shared" si="32"/>
        <v>0</v>
      </c>
      <c r="J224" s="85">
        <f t="shared" si="33"/>
        <v>0</v>
      </c>
      <c r="K224" s="85">
        <f>IF(N223=0,0,IF(N223&lt;BondCalculator!$B$14+BondCalculator!$B$15,N223+L224,BondCalculator!$B$14+BondCalculator!$B$15))</f>
        <v>0</v>
      </c>
      <c r="L224" s="85">
        <f>J224*BondCalculator!$B$7/12</f>
        <v>0</v>
      </c>
      <c r="M224" s="85">
        <f t="shared" si="34"/>
        <v>0</v>
      </c>
      <c r="N224" s="85">
        <f t="shared" si="27"/>
        <v>0</v>
      </c>
      <c r="P224" s="85">
        <f t="shared" si="28"/>
        <v>0</v>
      </c>
      <c r="Q224" s="86">
        <f>-PV(BondCalculator!$B$10/12,B224,0,1,0)</f>
        <v>0.4293224253037516</v>
      </c>
      <c r="S224" s="87">
        <f t="shared" si="29"/>
        <v>0</v>
      </c>
    </row>
    <row r="225" spans="1:19" ht="15" customHeight="1">
      <c r="A225" s="82" t="s">
        <v>114</v>
      </c>
      <c r="B225" s="93">
        <v>222</v>
      </c>
      <c r="C225" s="117">
        <f t="shared" si="35"/>
        <v>0</v>
      </c>
      <c r="D225" s="117">
        <f>IF(G224=0,0,IF(G224&lt;BondCalculator!$B$13,G224+E225,BondCalculator!$B$13))</f>
        <v>0</v>
      </c>
      <c r="E225" s="117">
        <f>C225*BondCalculator!$B$7/12</f>
        <v>0</v>
      </c>
      <c r="F225" s="117">
        <f t="shared" si="30"/>
        <v>0</v>
      </c>
      <c r="G225" s="117">
        <f t="shared" si="31"/>
        <v>0</v>
      </c>
      <c r="H225" s="94">
        <f t="shared" si="32"/>
        <v>0</v>
      </c>
      <c r="J225" s="85">
        <f t="shared" si="33"/>
        <v>0</v>
      </c>
      <c r="K225" s="85">
        <f>IF(N224=0,0,IF(N224&lt;BondCalculator!$B$14+BondCalculator!$B$15,N224+L225,BondCalculator!$B$14+BondCalculator!$B$15))</f>
        <v>0</v>
      </c>
      <c r="L225" s="85">
        <f>J225*BondCalculator!$B$7/12</f>
        <v>0</v>
      </c>
      <c r="M225" s="85">
        <f t="shared" si="34"/>
        <v>0</v>
      </c>
      <c r="N225" s="85">
        <f t="shared" si="27"/>
        <v>0</v>
      </c>
      <c r="P225" s="85">
        <f t="shared" si="28"/>
        <v>0</v>
      </c>
      <c r="Q225" s="86">
        <f>-PV(BondCalculator!$B$10/12,B225,0,1,0)</f>
        <v>0.427682973903787</v>
      </c>
      <c r="S225" s="87">
        <f t="shared" si="29"/>
        <v>0</v>
      </c>
    </row>
    <row r="226" spans="1:19" ht="15" customHeight="1">
      <c r="A226" s="82" t="s">
        <v>114</v>
      </c>
      <c r="B226" s="93">
        <v>223</v>
      </c>
      <c r="C226" s="117">
        <f t="shared" si="35"/>
        <v>0</v>
      </c>
      <c r="D226" s="117">
        <f>IF(G225=0,0,IF(G225&lt;BondCalculator!$B$13,G225+E226,BondCalculator!$B$13))</f>
        <v>0</v>
      </c>
      <c r="E226" s="117">
        <f>C226*BondCalculator!$B$7/12</f>
        <v>0</v>
      </c>
      <c r="F226" s="117">
        <f t="shared" si="30"/>
        <v>0</v>
      </c>
      <c r="G226" s="117">
        <f t="shared" si="31"/>
        <v>0</v>
      </c>
      <c r="H226" s="94">
        <f t="shared" si="32"/>
        <v>0</v>
      </c>
      <c r="J226" s="85">
        <f t="shared" si="33"/>
        <v>0</v>
      </c>
      <c r="K226" s="85">
        <f>IF(N225=0,0,IF(N225&lt;BondCalculator!$B$14+BondCalculator!$B$15,N225+L226,BondCalculator!$B$14+BondCalculator!$B$15))</f>
        <v>0</v>
      </c>
      <c r="L226" s="85">
        <f>J226*BondCalculator!$B$7/12</f>
        <v>0</v>
      </c>
      <c r="M226" s="85">
        <f t="shared" si="34"/>
        <v>0</v>
      </c>
      <c r="N226" s="85">
        <f t="shared" si="27"/>
        <v>0</v>
      </c>
      <c r="P226" s="85">
        <f t="shared" si="28"/>
        <v>0</v>
      </c>
      <c r="Q226" s="86">
        <f>-PV(BondCalculator!$B$10/12,B226,0,1,0)</f>
        <v>0.4260497830686904</v>
      </c>
      <c r="S226" s="87">
        <f t="shared" si="29"/>
        <v>0</v>
      </c>
    </row>
    <row r="227" spans="1:19" ht="15" customHeight="1">
      <c r="A227" s="82" t="s">
        <v>114</v>
      </c>
      <c r="B227" s="93">
        <v>224</v>
      </c>
      <c r="C227" s="117">
        <f t="shared" si="35"/>
        <v>0</v>
      </c>
      <c r="D227" s="117">
        <f>IF(G226=0,0,IF(G226&lt;BondCalculator!$B$13,G226+E227,BondCalculator!$B$13))</f>
        <v>0</v>
      </c>
      <c r="E227" s="117">
        <f>C227*BondCalculator!$B$7/12</f>
        <v>0</v>
      </c>
      <c r="F227" s="117">
        <f t="shared" si="30"/>
        <v>0</v>
      </c>
      <c r="G227" s="117">
        <f t="shared" si="31"/>
        <v>0</v>
      </c>
      <c r="H227" s="94">
        <f t="shared" si="32"/>
        <v>0</v>
      </c>
      <c r="J227" s="85">
        <f t="shared" si="33"/>
        <v>0</v>
      </c>
      <c r="K227" s="85">
        <f>IF(N226=0,0,IF(N226&lt;BondCalculator!$B$14+BondCalculator!$B$15,N226+L227,BondCalculator!$B$14+BondCalculator!$B$15))</f>
        <v>0</v>
      </c>
      <c r="L227" s="85">
        <f>J227*BondCalculator!$B$7/12</f>
        <v>0</v>
      </c>
      <c r="M227" s="85">
        <f t="shared" si="34"/>
        <v>0</v>
      </c>
      <c r="N227" s="85">
        <f t="shared" si="27"/>
        <v>0</v>
      </c>
      <c r="P227" s="85">
        <f t="shared" si="28"/>
        <v>0</v>
      </c>
      <c r="Q227" s="86">
        <f>-PV(BondCalculator!$B$10/12,B227,0,1,0)</f>
        <v>0.42442282889127403</v>
      </c>
      <c r="S227" s="87">
        <f t="shared" si="29"/>
        <v>0</v>
      </c>
    </row>
    <row r="228" spans="1:19" ht="15" customHeight="1">
      <c r="A228" s="82" t="s">
        <v>114</v>
      </c>
      <c r="B228" s="93">
        <v>225</v>
      </c>
      <c r="C228" s="117">
        <f t="shared" si="35"/>
        <v>0</v>
      </c>
      <c r="D228" s="117">
        <f>IF(G227=0,0,IF(G227&lt;BondCalculator!$B$13,G227+E228,BondCalculator!$B$13))</f>
        <v>0</v>
      </c>
      <c r="E228" s="117">
        <f>C228*BondCalculator!$B$7/12</f>
        <v>0</v>
      </c>
      <c r="F228" s="117">
        <f t="shared" si="30"/>
        <v>0</v>
      </c>
      <c r="G228" s="117">
        <f t="shared" si="31"/>
        <v>0</v>
      </c>
      <c r="H228" s="94">
        <f t="shared" si="32"/>
        <v>0</v>
      </c>
      <c r="J228" s="85">
        <f t="shared" si="33"/>
        <v>0</v>
      </c>
      <c r="K228" s="85">
        <f>IF(N227=0,0,IF(N227&lt;BondCalculator!$B$14+BondCalculator!$B$15,N227+L228,BondCalculator!$B$14+BondCalculator!$B$15))</f>
        <v>0</v>
      </c>
      <c r="L228" s="85">
        <f>J228*BondCalculator!$B$7/12</f>
        <v>0</v>
      </c>
      <c r="M228" s="85">
        <f t="shared" si="34"/>
        <v>0</v>
      </c>
      <c r="N228" s="85">
        <f t="shared" si="27"/>
        <v>0</v>
      </c>
      <c r="P228" s="85">
        <f t="shared" si="28"/>
        <v>0</v>
      </c>
      <c r="Q228" s="86">
        <f>-PV(BondCalculator!$B$10/12,B228,0,1,0)</f>
        <v>0.42280208755564397</v>
      </c>
      <c r="S228" s="87">
        <f t="shared" si="29"/>
        <v>0</v>
      </c>
    </row>
    <row r="229" spans="1:19" ht="15" customHeight="1">
      <c r="A229" s="82" t="s">
        <v>114</v>
      </c>
      <c r="B229" s="93">
        <v>226</v>
      </c>
      <c r="C229" s="117">
        <f t="shared" si="35"/>
        <v>0</v>
      </c>
      <c r="D229" s="117">
        <f>IF(G228=0,0,IF(G228&lt;BondCalculator!$B$13,G228+E229,BondCalculator!$B$13))</f>
        <v>0</v>
      </c>
      <c r="E229" s="117">
        <f>C229*BondCalculator!$B$7/12</f>
        <v>0</v>
      </c>
      <c r="F229" s="117">
        <f t="shared" si="30"/>
        <v>0</v>
      </c>
      <c r="G229" s="117">
        <f t="shared" si="31"/>
        <v>0</v>
      </c>
      <c r="H229" s="94">
        <f t="shared" si="32"/>
        <v>0</v>
      </c>
      <c r="J229" s="85">
        <f t="shared" si="33"/>
        <v>0</v>
      </c>
      <c r="K229" s="85">
        <f>IF(N228=0,0,IF(N228&lt;BondCalculator!$B$14+BondCalculator!$B$15,N228+L229,BondCalculator!$B$14+BondCalculator!$B$15))</f>
        <v>0</v>
      </c>
      <c r="L229" s="85">
        <f>J229*BondCalculator!$B$7/12</f>
        <v>0</v>
      </c>
      <c r="M229" s="85">
        <f t="shared" si="34"/>
        <v>0</v>
      </c>
      <c r="N229" s="85">
        <f t="shared" si="27"/>
        <v>0</v>
      </c>
      <c r="P229" s="85">
        <f t="shared" si="28"/>
        <v>0</v>
      </c>
      <c r="Q229" s="86">
        <f>-PV(BondCalculator!$B$10/12,B229,0,1,0)</f>
        <v>0.42118753533685277</v>
      </c>
      <c r="S229" s="87">
        <f t="shared" si="29"/>
        <v>0</v>
      </c>
    </row>
    <row r="230" spans="1:19" ht="15" customHeight="1">
      <c r="A230" s="82" t="s">
        <v>114</v>
      </c>
      <c r="B230" s="93">
        <v>227</v>
      </c>
      <c r="C230" s="117">
        <f t="shared" si="35"/>
        <v>0</v>
      </c>
      <c r="D230" s="117">
        <f>IF(G229=0,0,IF(G229&lt;BondCalculator!$B$13,G229+E230,BondCalculator!$B$13))</f>
        <v>0</v>
      </c>
      <c r="E230" s="117">
        <f>C230*BondCalculator!$B$7/12</f>
        <v>0</v>
      </c>
      <c r="F230" s="117">
        <f t="shared" si="30"/>
        <v>0</v>
      </c>
      <c r="G230" s="117">
        <f t="shared" si="31"/>
        <v>0</v>
      </c>
      <c r="H230" s="94">
        <f t="shared" si="32"/>
        <v>0</v>
      </c>
      <c r="J230" s="85">
        <f t="shared" si="33"/>
        <v>0</v>
      </c>
      <c r="K230" s="85">
        <f>IF(N229=0,0,IF(N229&lt;BondCalculator!$B$14+BondCalculator!$B$15,N229+L230,BondCalculator!$B$14+BondCalculator!$B$15))</f>
        <v>0</v>
      </c>
      <c r="L230" s="85">
        <f>J230*BondCalculator!$B$7/12</f>
        <v>0</v>
      </c>
      <c r="M230" s="85">
        <f t="shared" si="34"/>
        <v>0</v>
      </c>
      <c r="N230" s="85">
        <f t="shared" si="27"/>
        <v>0</v>
      </c>
      <c r="P230" s="85">
        <f t="shared" si="28"/>
        <v>0</v>
      </c>
      <c r="Q230" s="86">
        <f>-PV(BondCalculator!$B$10/12,B230,0,1,0)</f>
        <v>0.4195791486005507</v>
      </c>
      <c r="S230" s="87">
        <f t="shared" si="29"/>
        <v>0</v>
      </c>
    </row>
    <row r="231" spans="1:19" ht="15" customHeight="1">
      <c r="A231" s="82" t="s">
        <v>114</v>
      </c>
      <c r="B231" s="93">
        <v>228</v>
      </c>
      <c r="C231" s="117">
        <f t="shared" si="35"/>
        <v>0</v>
      </c>
      <c r="D231" s="117">
        <f>IF(G230=0,0,IF(G230&lt;BondCalculator!$B$13,G230+E231,BondCalculator!$B$13))</f>
        <v>0</v>
      </c>
      <c r="E231" s="117">
        <f>C231*BondCalculator!$B$7/12</f>
        <v>0</v>
      </c>
      <c r="F231" s="117">
        <f t="shared" si="30"/>
        <v>0</v>
      </c>
      <c r="G231" s="117">
        <f t="shared" si="31"/>
        <v>0</v>
      </c>
      <c r="H231" s="94">
        <f t="shared" si="32"/>
        <v>0</v>
      </c>
      <c r="J231" s="85">
        <f t="shared" si="33"/>
        <v>0</v>
      </c>
      <c r="K231" s="85">
        <f>IF(N230=0,0,IF(N230&lt;BondCalculator!$B$14+BondCalculator!$B$15,N230+L231,BondCalculator!$B$14+BondCalculator!$B$15))</f>
        <v>0</v>
      </c>
      <c r="L231" s="85">
        <f>J231*BondCalculator!$B$7/12</f>
        <v>0</v>
      </c>
      <c r="M231" s="85">
        <f t="shared" si="34"/>
        <v>0</v>
      </c>
      <c r="N231" s="85">
        <f t="shared" si="27"/>
        <v>0</v>
      </c>
      <c r="P231" s="85">
        <f t="shared" si="28"/>
        <v>0</v>
      </c>
      <c r="Q231" s="86">
        <f>-PV(BondCalculator!$B$10/12,B231,0,1,0)</f>
        <v>0.4179769038026405</v>
      </c>
      <c r="S231" s="87">
        <f t="shared" si="29"/>
        <v>0</v>
      </c>
    </row>
    <row r="232" spans="1:19" ht="15" customHeight="1">
      <c r="A232" s="82" t="s">
        <v>115</v>
      </c>
      <c r="B232" s="93">
        <v>229</v>
      </c>
      <c r="C232" s="117">
        <f t="shared" si="35"/>
        <v>0</v>
      </c>
      <c r="D232" s="117">
        <f>IF(G231=0,0,IF(G231&lt;BondCalculator!$B$13,G231+E232,BondCalculator!$B$13))</f>
        <v>0</v>
      </c>
      <c r="E232" s="117">
        <f>C232*BondCalculator!$B$7/12</f>
        <v>0</v>
      </c>
      <c r="F232" s="117">
        <f t="shared" si="30"/>
        <v>0</v>
      </c>
      <c r="G232" s="117">
        <f t="shared" si="31"/>
        <v>0</v>
      </c>
      <c r="H232" s="94">
        <f t="shared" si="32"/>
        <v>0</v>
      </c>
      <c r="J232" s="85">
        <f t="shared" si="33"/>
        <v>0</v>
      </c>
      <c r="K232" s="85">
        <f>IF(N231=0,0,IF(N231&lt;BondCalculator!$B$14+BondCalculator!$B$15,N231+L232,BondCalculator!$B$14+BondCalculator!$B$15))</f>
        <v>0</v>
      </c>
      <c r="L232" s="85">
        <f>J232*BondCalculator!$B$7/12</f>
        <v>0</v>
      </c>
      <c r="M232" s="85">
        <f t="shared" si="34"/>
        <v>0</v>
      </c>
      <c r="N232" s="85">
        <f t="shared" si="27"/>
        <v>0</v>
      </c>
      <c r="P232" s="85">
        <f t="shared" si="28"/>
        <v>0</v>
      </c>
      <c r="Q232" s="86">
        <f>-PV(BondCalculator!$B$10/12,B232,0,1,0)</f>
        <v>0.416380777488933</v>
      </c>
      <c r="S232" s="87">
        <f t="shared" si="29"/>
        <v>0</v>
      </c>
    </row>
    <row r="233" spans="1:19" ht="15" customHeight="1">
      <c r="A233" s="82" t="s">
        <v>115</v>
      </c>
      <c r="B233" s="93">
        <v>230</v>
      </c>
      <c r="C233" s="117">
        <f t="shared" si="35"/>
        <v>0</v>
      </c>
      <c r="D233" s="117">
        <f>IF(G232=0,0,IF(G232&lt;BondCalculator!$B$13,G232+E233,BondCalculator!$B$13))</f>
        <v>0</v>
      </c>
      <c r="E233" s="117">
        <f>C233*BondCalculator!$B$7/12</f>
        <v>0</v>
      </c>
      <c r="F233" s="117">
        <f t="shared" si="30"/>
        <v>0</v>
      </c>
      <c r="G233" s="117">
        <f t="shared" si="31"/>
        <v>0</v>
      </c>
      <c r="H233" s="94">
        <f t="shared" si="32"/>
        <v>0</v>
      </c>
      <c r="J233" s="85">
        <f t="shared" si="33"/>
        <v>0</v>
      </c>
      <c r="K233" s="85">
        <f>IF(N232=0,0,IF(N232&lt;BondCalculator!$B$14+BondCalculator!$B$15,N232+L233,BondCalculator!$B$14+BondCalculator!$B$15))</f>
        <v>0</v>
      </c>
      <c r="L233" s="85">
        <f>J233*BondCalculator!$B$7/12</f>
        <v>0</v>
      </c>
      <c r="M233" s="85">
        <f t="shared" si="34"/>
        <v>0</v>
      </c>
      <c r="N233" s="85">
        <f t="shared" si="27"/>
        <v>0</v>
      </c>
      <c r="P233" s="85">
        <f t="shared" si="28"/>
        <v>0</v>
      </c>
      <c r="Q233" s="86">
        <f>-PV(BondCalculator!$B$10/12,B233,0,1,0)</f>
        <v>0.41479074629480295</v>
      </c>
      <c r="S233" s="87">
        <f t="shared" si="29"/>
        <v>0</v>
      </c>
    </row>
    <row r="234" spans="1:19" ht="15" customHeight="1">
      <c r="A234" s="82" t="s">
        <v>115</v>
      </c>
      <c r="B234" s="93">
        <v>231</v>
      </c>
      <c r="C234" s="117">
        <f t="shared" si="35"/>
        <v>0</v>
      </c>
      <c r="D234" s="117">
        <f>IF(G233=0,0,IF(G233&lt;BondCalculator!$B$13,G233+E234,BondCalculator!$B$13))</f>
        <v>0</v>
      </c>
      <c r="E234" s="117">
        <f>C234*BondCalculator!$B$7/12</f>
        <v>0</v>
      </c>
      <c r="F234" s="117">
        <f t="shared" si="30"/>
        <v>0</v>
      </c>
      <c r="G234" s="117">
        <f t="shared" si="31"/>
        <v>0</v>
      </c>
      <c r="H234" s="94">
        <f t="shared" si="32"/>
        <v>0</v>
      </c>
      <c r="J234" s="85">
        <f t="shared" si="33"/>
        <v>0</v>
      </c>
      <c r="K234" s="85">
        <f>IF(N233=0,0,IF(N233&lt;BondCalculator!$B$14+BondCalculator!$B$15,N233+L234,BondCalculator!$B$14+BondCalculator!$B$15))</f>
        <v>0</v>
      </c>
      <c r="L234" s="85">
        <f>J234*BondCalculator!$B$7/12</f>
        <v>0</v>
      </c>
      <c r="M234" s="85">
        <f t="shared" si="34"/>
        <v>0</v>
      </c>
      <c r="N234" s="85">
        <f t="shared" si="27"/>
        <v>0</v>
      </c>
      <c r="P234" s="85">
        <f t="shared" si="28"/>
        <v>0</v>
      </c>
      <c r="Q234" s="86">
        <f>-PV(BondCalculator!$B$10/12,B234,0,1,0)</f>
        <v>0.4132067869448477</v>
      </c>
      <c r="S234" s="87">
        <f t="shared" si="29"/>
        <v>0</v>
      </c>
    </row>
    <row r="235" spans="1:19" ht="15" customHeight="1">
      <c r="A235" s="82" t="s">
        <v>115</v>
      </c>
      <c r="B235" s="93">
        <v>232</v>
      </c>
      <c r="C235" s="117">
        <f t="shared" si="35"/>
        <v>0</v>
      </c>
      <c r="D235" s="117">
        <f>IF(G234=0,0,IF(G234&lt;BondCalculator!$B$13,G234+E235,BondCalculator!$B$13))</f>
        <v>0</v>
      </c>
      <c r="E235" s="117">
        <f>C235*BondCalculator!$B$7/12</f>
        <v>0</v>
      </c>
      <c r="F235" s="117">
        <f t="shared" si="30"/>
        <v>0</v>
      </c>
      <c r="G235" s="117">
        <f t="shared" si="31"/>
        <v>0</v>
      </c>
      <c r="H235" s="94">
        <f t="shared" si="32"/>
        <v>0</v>
      </c>
      <c r="J235" s="85">
        <f t="shared" si="33"/>
        <v>0</v>
      </c>
      <c r="K235" s="85">
        <f>IF(N234=0,0,IF(N234&lt;BondCalculator!$B$14+BondCalculator!$B$15,N234+L235,BondCalculator!$B$14+BondCalculator!$B$15))</f>
        <v>0</v>
      </c>
      <c r="L235" s="85">
        <f>J235*BondCalculator!$B$7/12</f>
        <v>0</v>
      </c>
      <c r="M235" s="85">
        <f t="shared" si="34"/>
        <v>0</v>
      </c>
      <c r="N235" s="85">
        <f t="shared" si="27"/>
        <v>0</v>
      </c>
      <c r="P235" s="85">
        <f t="shared" si="28"/>
        <v>0</v>
      </c>
      <c r="Q235" s="86">
        <f>-PV(BondCalculator!$B$10/12,B235,0,1,0)</f>
        <v>0.4116288762525462</v>
      </c>
      <c r="S235" s="87">
        <f t="shared" si="29"/>
        <v>0</v>
      </c>
    </row>
    <row r="236" spans="1:19" ht="15" customHeight="1">
      <c r="A236" s="82" t="s">
        <v>115</v>
      </c>
      <c r="B236" s="93">
        <v>233</v>
      </c>
      <c r="C236" s="117">
        <f t="shared" si="35"/>
        <v>0</v>
      </c>
      <c r="D236" s="117">
        <f>IF(G235=0,0,IF(G235&lt;BondCalculator!$B$13,G235+E236,BondCalculator!$B$13))</f>
        <v>0</v>
      </c>
      <c r="E236" s="117">
        <f>C236*BondCalculator!$B$7/12</f>
        <v>0</v>
      </c>
      <c r="F236" s="117">
        <f t="shared" si="30"/>
        <v>0</v>
      </c>
      <c r="G236" s="117">
        <f t="shared" si="31"/>
        <v>0</v>
      </c>
      <c r="H236" s="94">
        <f t="shared" si="32"/>
        <v>0</v>
      </c>
      <c r="J236" s="85">
        <f t="shared" si="33"/>
        <v>0</v>
      </c>
      <c r="K236" s="85">
        <f>IF(N235=0,0,IF(N235&lt;BondCalculator!$B$14+BondCalculator!$B$15,N235+L236,BondCalculator!$B$14+BondCalculator!$B$15))</f>
        <v>0</v>
      </c>
      <c r="L236" s="85">
        <f>J236*BondCalculator!$B$7/12</f>
        <v>0</v>
      </c>
      <c r="M236" s="85">
        <f t="shared" si="34"/>
        <v>0</v>
      </c>
      <c r="N236" s="85">
        <f t="shared" si="27"/>
        <v>0</v>
      </c>
      <c r="P236" s="85">
        <f t="shared" si="28"/>
        <v>0</v>
      </c>
      <c r="Q236" s="86">
        <f>-PV(BondCalculator!$B$10/12,B236,0,1,0)</f>
        <v>0.41005699111991983</v>
      </c>
      <c r="S236" s="87">
        <f t="shared" si="29"/>
        <v>0</v>
      </c>
    </row>
    <row r="237" spans="1:19" ht="15" customHeight="1">
      <c r="A237" s="82" t="s">
        <v>115</v>
      </c>
      <c r="B237" s="93">
        <v>234</v>
      </c>
      <c r="C237" s="117">
        <f t="shared" si="35"/>
        <v>0</v>
      </c>
      <c r="D237" s="117">
        <f>IF(G236=0,0,IF(G236&lt;BondCalculator!$B$13,G236+E237,BondCalculator!$B$13))</f>
        <v>0</v>
      </c>
      <c r="E237" s="117">
        <f>C237*BondCalculator!$B$7/12</f>
        <v>0</v>
      </c>
      <c r="F237" s="117">
        <f t="shared" si="30"/>
        <v>0</v>
      </c>
      <c r="G237" s="117">
        <f t="shared" si="31"/>
        <v>0</v>
      </c>
      <c r="H237" s="94">
        <f t="shared" si="32"/>
        <v>0</v>
      </c>
      <c r="J237" s="85">
        <f t="shared" si="33"/>
        <v>0</v>
      </c>
      <c r="K237" s="85">
        <f>IF(N236=0,0,IF(N236&lt;BondCalculator!$B$14+BondCalculator!$B$15,N236+L237,BondCalculator!$B$14+BondCalculator!$B$15))</f>
        <v>0</v>
      </c>
      <c r="L237" s="85">
        <f>J237*BondCalculator!$B$7/12</f>
        <v>0</v>
      </c>
      <c r="M237" s="85">
        <f t="shared" si="34"/>
        <v>0</v>
      </c>
      <c r="N237" s="85">
        <f t="shared" si="27"/>
        <v>0</v>
      </c>
      <c r="P237" s="85">
        <f t="shared" si="28"/>
        <v>0</v>
      </c>
      <c r="Q237" s="86">
        <f>-PV(BondCalculator!$B$10/12,B237,0,1,0)</f>
        <v>0.40849110853719395</v>
      </c>
      <c r="S237" s="87">
        <f t="shared" si="29"/>
        <v>0</v>
      </c>
    </row>
    <row r="238" spans="1:19" ht="15" customHeight="1">
      <c r="A238" s="82" t="s">
        <v>115</v>
      </c>
      <c r="B238" s="93">
        <v>235</v>
      </c>
      <c r="C238" s="117">
        <f t="shared" si="35"/>
        <v>0</v>
      </c>
      <c r="D238" s="117">
        <f>IF(G237=0,0,IF(G237&lt;BondCalculator!$B$13,G237+E238,BondCalculator!$B$13))</f>
        <v>0</v>
      </c>
      <c r="E238" s="117">
        <f>C238*BondCalculator!$B$7/12</f>
        <v>0</v>
      </c>
      <c r="F238" s="117">
        <f t="shared" si="30"/>
        <v>0</v>
      </c>
      <c r="G238" s="117">
        <f t="shared" si="31"/>
        <v>0</v>
      </c>
      <c r="H238" s="94">
        <f t="shared" si="32"/>
        <v>0</v>
      </c>
      <c r="J238" s="85">
        <f t="shared" si="33"/>
        <v>0</v>
      </c>
      <c r="K238" s="85">
        <f>IF(N237=0,0,IF(N237&lt;BondCalculator!$B$14+BondCalculator!$B$15,N237+L238,BondCalculator!$B$14+BondCalculator!$B$15))</f>
        <v>0</v>
      </c>
      <c r="L238" s="85">
        <f>J238*BondCalculator!$B$7/12</f>
        <v>0</v>
      </c>
      <c r="M238" s="85">
        <f t="shared" si="34"/>
        <v>0</v>
      </c>
      <c r="N238" s="85">
        <f t="shared" si="27"/>
        <v>0</v>
      </c>
      <c r="P238" s="85">
        <f t="shared" si="28"/>
        <v>0</v>
      </c>
      <c r="Q238" s="86">
        <f>-PV(BondCalculator!$B$10/12,B238,0,1,0)</f>
        <v>0.4069312055824612</v>
      </c>
      <c r="S238" s="87">
        <f t="shared" si="29"/>
        <v>0</v>
      </c>
    </row>
    <row r="239" spans="1:19" ht="15" customHeight="1">
      <c r="A239" s="82" t="s">
        <v>115</v>
      </c>
      <c r="B239" s="93">
        <v>236</v>
      </c>
      <c r="C239" s="117">
        <f t="shared" si="35"/>
        <v>0</v>
      </c>
      <c r="D239" s="117">
        <f>IF(G238=0,0,IF(G238&lt;BondCalculator!$B$13,G238+E239,BondCalculator!$B$13))</f>
        <v>0</v>
      </c>
      <c r="E239" s="117">
        <f>C239*BondCalculator!$B$7/12</f>
        <v>0</v>
      </c>
      <c r="F239" s="117">
        <f t="shared" si="30"/>
        <v>0</v>
      </c>
      <c r="G239" s="117">
        <f t="shared" si="31"/>
        <v>0</v>
      </c>
      <c r="H239" s="94">
        <f t="shared" si="32"/>
        <v>0</v>
      </c>
      <c r="J239" s="85">
        <f t="shared" si="33"/>
        <v>0</v>
      </c>
      <c r="K239" s="85">
        <f>IF(N238=0,0,IF(N238&lt;BondCalculator!$B$14+BondCalculator!$B$15,N238+L239,BondCalculator!$B$14+BondCalculator!$B$15))</f>
        <v>0</v>
      </c>
      <c r="L239" s="85">
        <f>J239*BondCalculator!$B$7/12</f>
        <v>0</v>
      </c>
      <c r="M239" s="85">
        <f t="shared" si="34"/>
        <v>0</v>
      </c>
      <c r="N239" s="85">
        <f t="shared" si="27"/>
        <v>0</v>
      </c>
      <c r="P239" s="85">
        <f t="shared" si="28"/>
        <v>0</v>
      </c>
      <c r="Q239" s="86">
        <f>-PV(BondCalculator!$B$10/12,B239,0,1,0)</f>
        <v>0.40537725942134606</v>
      </c>
      <c r="S239" s="87">
        <f t="shared" si="29"/>
        <v>0</v>
      </c>
    </row>
    <row r="240" spans="1:19" ht="15" customHeight="1">
      <c r="A240" s="82" t="s">
        <v>115</v>
      </c>
      <c r="B240" s="93">
        <v>237</v>
      </c>
      <c r="C240" s="117">
        <f t="shared" si="35"/>
        <v>0</v>
      </c>
      <c r="D240" s="117">
        <f>IF(G239=0,0,IF(G239&lt;BondCalculator!$B$13,G239+E240,BondCalculator!$B$13))</f>
        <v>0</v>
      </c>
      <c r="E240" s="117">
        <f>C240*BondCalculator!$B$7/12</f>
        <v>0</v>
      </c>
      <c r="F240" s="117">
        <f t="shared" si="30"/>
        <v>0</v>
      </c>
      <c r="G240" s="117">
        <f t="shared" si="31"/>
        <v>0</v>
      </c>
      <c r="H240" s="94">
        <f t="shared" si="32"/>
        <v>0</v>
      </c>
      <c r="J240" s="85">
        <f t="shared" si="33"/>
        <v>0</v>
      </c>
      <c r="K240" s="85">
        <f>IF(N239=0,0,IF(N239&lt;BondCalculator!$B$14+BondCalculator!$B$15,N239+L240,BondCalculator!$B$14+BondCalculator!$B$15))</f>
        <v>0</v>
      </c>
      <c r="L240" s="85">
        <f>J240*BondCalculator!$B$7/12</f>
        <v>0</v>
      </c>
      <c r="M240" s="85">
        <f t="shared" si="34"/>
        <v>0</v>
      </c>
      <c r="N240" s="85">
        <f t="shared" si="27"/>
        <v>0</v>
      </c>
      <c r="P240" s="85">
        <f t="shared" si="28"/>
        <v>0</v>
      </c>
      <c r="Q240" s="86">
        <f>-PV(BondCalculator!$B$10/12,B240,0,1,0)</f>
        <v>0.40382924730667064</v>
      </c>
      <c r="S240" s="87">
        <f t="shared" si="29"/>
        <v>0</v>
      </c>
    </row>
    <row r="241" spans="1:19" ht="15" customHeight="1">
      <c r="A241" s="82" t="s">
        <v>115</v>
      </c>
      <c r="B241" s="93">
        <v>238</v>
      </c>
      <c r="C241" s="117">
        <f t="shared" si="35"/>
        <v>0</v>
      </c>
      <c r="D241" s="117">
        <f>IF(G240=0,0,IF(G240&lt;BondCalculator!$B$13,G240+E241,BondCalculator!$B$13))</f>
        <v>0</v>
      </c>
      <c r="E241" s="117">
        <f>C241*BondCalculator!$B$7/12</f>
        <v>0</v>
      </c>
      <c r="F241" s="117">
        <f t="shared" si="30"/>
        <v>0</v>
      </c>
      <c r="G241" s="117">
        <f t="shared" si="31"/>
        <v>0</v>
      </c>
      <c r="H241" s="94">
        <f t="shared" si="32"/>
        <v>0</v>
      </c>
      <c r="J241" s="85">
        <f t="shared" si="33"/>
        <v>0</v>
      </c>
      <c r="K241" s="85">
        <f>IF(N240=0,0,IF(N240&lt;BondCalculator!$B$14+BondCalculator!$B$15,N240+L241,BondCalculator!$B$14+BondCalculator!$B$15))</f>
        <v>0</v>
      </c>
      <c r="L241" s="85">
        <f>J241*BondCalculator!$B$7/12</f>
        <v>0</v>
      </c>
      <c r="M241" s="85">
        <f t="shared" si="34"/>
        <v>0</v>
      </c>
      <c r="N241" s="85">
        <f t="shared" si="27"/>
        <v>0</v>
      </c>
      <c r="P241" s="85">
        <f t="shared" si="28"/>
        <v>0</v>
      </c>
      <c r="Q241" s="86">
        <f>-PV(BondCalculator!$B$10/12,B241,0,1,0)</f>
        <v>0.40228714657812104</v>
      </c>
      <c r="S241" s="87">
        <f t="shared" si="29"/>
        <v>0</v>
      </c>
    </row>
    <row r="242" spans="1:19" ht="15" customHeight="1">
      <c r="A242" s="82" t="s">
        <v>115</v>
      </c>
      <c r="B242" s="93">
        <v>239</v>
      </c>
      <c r="C242" s="117">
        <f t="shared" si="35"/>
        <v>0</v>
      </c>
      <c r="D242" s="117">
        <f>IF(G241=0,0,IF(G241&lt;BondCalculator!$B$13,G241+E242,BondCalculator!$B$13))</f>
        <v>0</v>
      </c>
      <c r="E242" s="117">
        <f>C242*BondCalculator!$B$7/12</f>
        <v>0</v>
      </c>
      <c r="F242" s="117">
        <f t="shared" si="30"/>
        <v>0</v>
      </c>
      <c r="G242" s="117">
        <f t="shared" si="31"/>
        <v>0</v>
      </c>
      <c r="H242" s="94">
        <f t="shared" si="32"/>
        <v>0</v>
      </c>
      <c r="J242" s="85">
        <f t="shared" si="33"/>
        <v>0</v>
      </c>
      <c r="K242" s="85">
        <f>IF(N241=0,0,IF(N241&lt;BondCalculator!$B$14+BondCalculator!$B$15,N241+L242,BondCalculator!$B$14+BondCalculator!$B$15))</f>
        <v>0</v>
      </c>
      <c r="L242" s="85">
        <f>J242*BondCalculator!$B$7/12</f>
        <v>0</v>
      </c>
      <c r="M242" s="85">
        <f t="shared" si="34"/>
        <v>0</v>
      </c>
      <c r="N242" s="85">
        <f t="shared" si="27"/>
        <v>0</v>
      </c>
      <c r="P242" s="85">
        <f t="shared" si="28"/>
        <v>0</v>
      </c>
      <c r="Q242" s="86">
        <f>-PV(BondCalculator!$B$10/12,B242,0,1,0)</f>
        <v>0.400750934661917</v>
      </c>
      <c r="S242" s="87">
        <f t="shared" si="29"/>
        <v>0</v>
      </c>
    </row>
    <row r="243" spans="1:19" ht="15" customHeight="1">
      <c r="A243" s="82" t="s">
        <v>115</v>
      </c>
      <c r="B243" s="93">
        <v>240</v>
      </c>
      <c r="C243" s="117">
        <f t="shared" si="35"/>
        <v>0</v>
      </c>
      <c r="D243" s="117">
        <f>IF(G242=0,0,IF(G242&lt;BondCalculator!$B$13,G242+E243,BondCalculator!$B$13))</f>
        <v>0</v>
      </c>
      <c r="E243" s="117">
        <f>C243*BondCalculator!$B$7/12</f>
        <v>0</v>
      </c>
      <c r="F243" s="117">
        <f t="shared" si="30"/>
        <v>0</v>
      </c>
      <c r="G243" s="117">
        <f t="shared" si="31"/>
        <v>0</v>
      </c>
      <c r="H243" s="94">
        <f t="shared" si="32"/>
        <v>0</v>
      </c>
      <c r="J243" s="85">
        <f t="shared" si="33"/>
        <v>0</v>
      </c>
      <c r="K243" s="85">
        <f>IF(N242=0,0,IF(N242&lt;BondCalculator!$B$14+BondCalculator!$B$15,N242+L243,BondCalculator!$B$14+BondCalculator!$B$15))</f>
        <v>0</v>
      </c>
      <c r="L243" s="85">
        <f>J243*BondCalculator!$B$7/12</f>
        <v>0</v>
      </c>
      <c r="M243" s="85">
        <f t="shared" si="34"/>
        <v>0</v>
      </c>
      <c r="N243" s="85">
        <f t="shared" si="27"/>
        <v>0</v>
      </c>
      <c r="P243" s="85">
        <f t="shared" si="28"/>
        <v>0</v>
      </c>
      <c r="Q243" s="86">
        <f>-PV(BondCalculator!$B$10/12,B243,0,1,0)</f>
        <v>0.39922058907048025</v>
      </c>
      <c r="S243" s="87">
        <f t="shared" si="29"/>
        <v>0</v>
      </c>
    </row>
    <row r="244" spans="1:19" ht="15" customHeight="1">
      <c r="A244" s="82" t="s">
        <v>117</v>
      </c>
      <c r="B244" s="93">
        <v>241</v>
      </c>
      <c r="C244" s="117">
        <f t="shared" si="35"/>
        <v>0</v>
      </c>
      <c r="D244" s="117">
        <f>IF(G243=0,0,IF(G243&lt;BondCalculator!$B$13,G243+E244,BondCalculator!$B$13))</f>
        <v>0</v>
      </c>
      <c r="E244" s="117">
        <f>C244*BondCalculator!$B$7/12</f>
        <v>0</v>
      </c>
      <c r="F244" s="117">
        <f aca="true" t="shared" si="36" ref="F244:F307">D244-E244</f>
        <v>0</v>
      </c>
      <c r="G244" s="117">
        <f t="shared" si="31"/>
        <v>0</v>
      </c>
      <c r="H244" s="94">
        <f t="shared" si="32"/>
        <v>0</v>
      </c>
      <c r="J244" s="85">
        <f aca="true" t="shared" si="37" ref="J244:J307">IF(ROUND(N243,0)&gt;0,N243,0)</f>
        <v>0</v>
      </c>
      <c r="K244" s="85">
        <f>IF(N243=0,0,IF(N243&lt;BondCalculator!$B$14+BondCalculator!$B$15,N243+L244,BondCalculator!$B$14+BondCalculator!$B$15))</f>
        <v>0</v>
      </c>
      <c r="L244" s="85">
        <f>J244*BondCalculator!$B$7/12</f>
        <v>0</v>
      </c>
      <c r="M244" s="85">
        <f aca="true" t="shared" si="38" ref="M244:M307">IF(K244-L244&gt;N243,N243,K244-L244)</f>
        <v>0</v>
      </c>
      <c r="N244" s="85">
        <f aca="true" t="shared" si="39" ref="N244:N307">J244-M244</f>
        <v>0</v>
      </c>
      <c r="P244" s="85">
        <f aca="true" t="shared" si="40" ref="P244:P307">E244-L244</f>
        <v>0</v>
      </c>
      <c r="Q244" s="86">
        <f>-PV(BondCalculator!$B$10/12,B244,0,1,0)</f>
        <v>0.39769608740210544</v>
      </c>
      <c r="S244" s="87">
        <f t="shared" si="29"/>
        <v>0</v>
      </c>
    </row>
    <row r="245" spans="1:19" ht="15" customHeight="1">
      <c r="A245" s="82" t="s">
        <v>117</v>
      </c>
      <c r="B245" s="93">
        <v>242</v>
      </c>
      <c r="C245" s="117">
        <f t="shared" si="35"/>
        <v>0</v>
      </c>
      <c r="D245" s="117">
        <f>IF(G244=0,0,IF(G244&lt;BondCalculator!$B$13,G244+E245,BondCalculator!$B$13))</f>
        <v>0</v>
      </c>
      <c r="E245" s="117">
        <f>C245*BondCalculator!$B$7/12</f>
        <v>0</v>
      </c>
      <c r="F245" s="117">
        <f t="shared" si="36"/>
        <v>0</v>
      </c>
      <c r="G245" s="117">
        <f t="shared" si="31"/>
        <v>0</v>
      </c>
      <c r="H245" s="94">
        <f t="shared" si="32"/>
        <v>0</v>
      </c>
      <c r="J245" s="85">
        <f t="shared" si="37"/>
        <v>0</v>
      </c>
      <c r="K245" s="85">
        <f>IF(N244=0,0,IF(N244&lt;BondCalculator!$B$14+BondCalculator!$B$15,N244+L245,BondCalculator!$B$14+BondCalculator!$B$15))</f>
        <v>0</v>
      </c>
      <c r="L245" s="85">
        <f>J245*BondCalculator!$B$7/12</f>
        <v>0</v>
      </c>
      <c r="M245" s="85">
        <f t="shared" si="38"/>
        <v>0</v>
      </c>
      <c r="N245" s="85">
        <f t="shared" si="39"/>
        <v>0</v>
      </c>
      <c r="P245" s="85">
        <f t="shared" si="40"/>
        <v>0</v>
      </c>
      <c r="Q245" s="86">
        <f>-PV(BondCalculator!$B$10/12,B245,0,1,0)</f>
        <v>0.3961774073406331</v>
      </c>
      <c r="S245" s="87">
        <f t="shared" si="29"/>
        <v>0</v>
      </c>
    </row>
    <row r="246" spans="1:19" ht="15" customHeight="1">
      <c r="A246" s="82" t="s">
        <v>117</v>
      </c>
      <c r="B246" s="93">
        <v>243</v>
      </c>
      <c r="C246" s="117">
        <f t="shared" si="35"/>
        <v>0</v>
      </c>
      <c r="D246" s="117">
        <f>IF(G245=0,0,IF(G245&lt;BondCalculator!$B$13,G245+E246,BondCalculator!$B$13))</f>
        <v>0</v>
      </c>
      <c r="E246" s="117">
        <f>C246*BondCalculator!$B$7/12</f>
        <v>0</v>
      </c>
      <c r="F246" s="117">
        <f t="shared" si="36"/>
        <v>0</v>
      </c>
      <c r="G246" s="117">
        <f t="shared" si="31"/>
        <v>0</v>
      </c>
      <c r="H246" s="94">
        <f t="shared" si="32"/>
        <v>0</v>
      </c>
      <c r="J246" s="85">
        <f t="shared" si="37"/>
        <v>0</v>
      </c>
      <c r="K246" s="85">
        <f>IF(N245=0,0,IF(N245&lt;BondCalculator!$B$14+BondCalculator!$B$15,N245+L246,BondCalculator!$B$14+BondCalculator!$B$15))</f>
        <v>0</v>
      </c>
      <c r="L246" s="85">
        <f>J246*BondCalculator!$B$7/12</f>
        <v>0</v>
      </c>
      <c r="M246" s="85">
        <f t="shared" si="38"/>
        <v>0</v>
      </c>
      <c r="N246" s="85">
        <f t="shared" si="39"/>
        <v>0</v>
      </c>
      <c r="P246" s="85">
        <f t="shared" si="40"/>
        <v>0</v>
      </c>
      <c r="Q246" s="86">
        <f>-PV(BondCalculator!$B$10/12,B246,0,1,0)</f>
        <v>0.39466452665512175</v>
      </c>
      <c r="S246" s="87">
        <f t="shared" si="29"/>
        <v>0</v>
      </c>
    </row>
    <row r="247" spans="1:19" ht="15" customHeight="1">
      <c r="A247" s="82" t="s">
        <v>117</v>
      </c>
      <c r="B247" s="93">
        <v>244</v>
      </c>
      <c r="C247" s="117">
        <f t="shared" si="35"/>
        <v>0</v>
      </c>
      <c r="D247" s="117">
        <f>IF(G246=0,0,IF(G246&lt;BondCalculator!$B$13,G246+E247,BondCalculator!$B$13))</f>
        <v>0</v>
      </c>
      <c r="E247" s="117">
        <f>C247*BondCalculator!$B$7/12</f>
        <v>0</v>
      </c>
      <c r="F247" s="117">
        <f t="shared" si="36"/>
        <v>0</v>
      </c>
      <c r="G247" s="117">
        <f t="shared" si="31"/>
        <v>0</v>
      </c>
      <c r="H247" s="94">
        <f t="shared" si="32"/>
        <v>0</v>
      </c>
      <c r="J247" s="85">
        <f t="shared" si="37"/>
        <v>0</v>
      </c>
      <c r="K247" s="85">
        <f>IF(N246=0,0,IF(N246&lt;BondCalculator!$B$14+BondCalculator!$B$15,N246+L247,BondCalculator!$B$14+BondCalculator!$B$15))</f>
        <v>0</v>
      </c>
      <c r="L247" s="85">
        <f>J247*BondCalculator!$B$7/12</f>
        <v>0</v>
      </c>
      <c r="M247" s="85">
        <f t="shared" si="38"/>
        <v>0</v>
      </c>
      <c r="N247" s="85">
        <f t="shared" si="39"/>
        <v>0</v>
      </c>
      <c r="P247" s="85">
        <f t="shared" si="40"/>
        <v>0</v>
      </c>
      <c r="Q247" s="86">
        <f>-PV(BondCalculator!$B$10/12,B247,0,1,0)</f>
        <v>0.3931574231995237</v>
      </c>
      <c r="S247" s="87">
        <f t="shared" si="29"/>
        <v>0</v>
      </c>
    </row>
    <row r="248" spans="1:19" ht="15" customHeight="1">
      <c r="A248" s="82" t="s">
        <v>117</v>
      </c>
      <c r="B248" s="93">
        <v>245</v>
      </c>
      <c r="C248" s="117">
        <f t="shared" si="35"/>
        <v>0</v>
      </c>
      <c r="D248" s="117">
        <f>IF(G247=0,0,IF(G247&lt;BondCalculator!$B$13,G247+E248,BondCalculator!$B$13))</f>
        <v>0</v>
      </c>
      <c r="E248" s="117">
        <f>C248*BondCalculator!$B$7/12</f>
        <v>0</v>
      </c>
      <c r="F248" s="117">
        <f t="shared" si="36"/>
        <v>0</v>
      </c>
      <c r="G248" s="117">
        <f t="shared" si="31"/>
        <v>0</v>
      </c>
      <c r="H248" s="94">
        <f t="shared" si="32"/>
        <v>0</v>
      </c>
      <c r="J248" s="85">
        <f t="shared" si="37"/>
        <v>0</v>
      </c>
      <c r="K248" s="85">
        <f>IF(N247=0,0,IF(N247&lt;BondCalculator!$B$14+BondCalculator!$B$15,N247+L248,BondCalculator!$B$14+BondCalculator!$B$15))</f>
        <v>0</v>
      </c>
      <c r="L248" s="85">
        <f>J248*BondCalculator!$B$7/12</f>
        <v>0</v>
      </c>
      <c r="M248" s="85">
        <f t="shared" si="38"/>
        <v>0</v>
      </c>
      <c r="N248" s="85">
        <f t="shared" si="39"/>
        <v>0</v>
      </c>
      <c r="P248" s="85">
        <f t="shared" si="40"/>
        <v>0</v>
      </c>
      <c r="Q248" s="86">
        <f>-PV(BondCalculator!$B$10/12,B248,0,1,0)</f>
        <v>0.39165607491235954</v>
      </c>
      <c r="S248" s="87">
        <f t="shared" si="29"/>
        <v>0</v>
      </c>
    </row>
    <row r="249" spans="1:19" ht="15" customHeight="1">
      <c r="A249" s="82" t="s">
        <v>117</v>
      </c>
      <c r="B249" s="93">
        <v>246</v>
      </c>
      <c r="C249" s="117">
        <f t="shared" si="35"/>
        <v>0</v>
      </c>
      <c r="D249" s="117">
        <f>IF(G248=0,0,IF(G248&lt;BondCalculator!$B$13,G248+E249,BondCalculator!$B$13))</f>
        <v>0</v>
      </c>
      <c r="E249" s="117">
        <f>C249*BondCalculator!$B$7/12</f>
        <v>0</v>
      </c>
      <c r="F249" s="117">
        <f t="shared" si="36"/>
        <v>0</v>
      </c>
      <c r="G249" s="117">
        <f t="shared" si="31"/>
        <v>0</v>
      </c>
      <c r="H249" s="94">
        <f t="shared" si="32"/>
        <v>0</v>
      </c>
      <c r="J249" s="85">
        <f t="shared" si="37"/>
        <v>0</v>
      </c>
      <c r="K249" s="85">
        <f>IF(N248=0,0,IF(N248&lt;BondCalculator!$B$14+BondCalculator!$B$15,N248+L249,BondCalculator!$B$14+BondCalculator!$B$15))</f>
        <v>0</v>
      </c>
      <c r="L249" s="85">
        <f>J249*BondCalculator!$B$7/12</f>
        <v>0</v>
      </c>
      <c r="M249" s="85">
        <f t="shared" si="38"/>
        <v>0</v>
      </c>
      <c r="N249" s="85">
        <f t="shared" si="39"/>
        <v>0</v>
      </c>
      <c r="P249" s="85">
        <f t="shared" si="40"/>
        <v>0</v>
      </c>
      <c r="Q249" s="86">
        <f>-PV(BondCalculator!$B$10/12,B249,0,1,0)</f>
        <v>0.3901604598163967</v>
      </c>
      <c r="S249" s="87">
        <f t="shared" si="29"/>
        <v>0</v>
      </c>
    </row>
    <row r="250" spans="1:19" ht="15" customHeight="1">
      <c r="A250" s="82" t="s">
        <v>117</v>
      </c>
      <c r="B250" s="93">
        <v>247</v>
      </c>
      <c r="C250" s="117">
        <f t="shared" si="35"/>
        <v>0</v>
      </c>
      <c r="D250" s="117">
        <f>IF(G249=0,0,IF(G249&lt;BondCalculator!$B$13,G249+E250,BondCalculator!$B$13))</f>
        <v>0</v>
      </c>
      <c r="E250" s="117">
        <f>C250*BondCalculator!$B$7/12</f>
        <v>0</v>
      </c>
      <c r="F250" s="117">
        <f t="shared" si="36"/>
        <v>0</v>
      </c>
      <c r="G250" s="117">
        <f t="shared" si="31"/>
        <v>0</v>
      </c>
      <c r="H250" s="94">
        <f t="shared" si="32"/>
        <v>0</v>
      </c>
      <c r="J250" s="85">
        <f t="shared" si="37"/>
        <v>0</v>
      </c>
      <c r="K250" s="85">
        <f>IF(N249=0,0,IF(N249&lt;BondCalculator!$B$14+BondCalculator!$B$15,N249+L250,BondCalculator!$B$14+BondCalculator!$B$15))</f>
        <v>0</v>
      </c>
      <c r="L250" s="85">
        <f>J250*BondCalculator!$B$7/12</f>
        <v>0</v>
      </c>
      <c r="M250" s="85">
        <f t="shared" si="38"/>
        <v>0</v>
      </c>
      <c r="N250" s="85">
        <f t="shared" si="39"/>
        <v>0</v>
      </c>
      <c r="P250" s="85">
        <f t="shared" si="40"/>
        <v>0</v>
      </c>
      <c r="Q250" s="86">
        <f>-PV(BondCalculator!$B$10/12,B250,0,1,0)</f>
        <v>0.3886705560183265</v>
      </c>
      <c r="S250" s="87">
        <f t="shared" si="29"/>
        <v>0</v>
      </c>
    </row>
    <row r="251" spans="1:19" ht="15" customHeight="1">
      <c r="A251" s="82" t="s">
        <v>117</v>
      </c>
      <c r="B251" s="93">
        <v>248</v>
      </c>
      <c r="C251" s="117">
        <f t="shared" si="35"/>
        <v>0</v>
      </c>
      <c r="D251" s="117">
        <f>IF(G250=0,0,IF(G250&lt;BondCalculator!$B$13,G250+E251,BondCalculator!$B$13))</f>
        <v>0</v>
      </c>
      <c r="E251" s="117">
        <f>C251*BondCalculator!$B$7/12</f>
        <v>0</v>
      </c>
      <c r="F251" s="117">
        <f t="shared" si="36"/>
        <v>0</v>
      </c>
      <c r="G251" s="117">
        <f t="shared" si="31"/>
        <v>0</v>
      </c>
      <c r="H251" s="94">
        <f t="shared" si="32"/>
        <v>0</v>
      </c>
      <c r="J251" s="85">
        <f t="shared" si="37"/>
        <v>0</v>
      </c>
      <c r="K251" s="85">
        <f>IF(N250=0,0,IF(N250&lt;BondCalculator!$B$14+BondCalculator!$B$15,N250+L251,BondCalculator!$B$14+BondCalculator!$B$15))</f>
        <v>0</v>
      </c>
      <c r="L251" s="85">
        <f>J251*BondCalculator!$B$7/12</f>
        <v>0</v>
      </c>
      <c r="M251" s="85">
        <f t="shared" si="38"/>
        <v>0</v>
      </c>
      <c r="N251" s="85">
        <f t="shared" si="39"/>
        <v>0</v>
      </c>
      <c r="P251" s="85">
        <f t="shared" si="40"/>
        <v>0</v>
      </c>
      <c r="Q251" s="86">
        <f>-PV(BondCalculator!$B$10/12,B251,0,1,0)</f>
        <v>0.38718634170844407</v>
      </c>
      <c r="S251" s="87">
        <f t="shared" si="29"/>
        <v>0</v>
      </c>
    </row>
    <row r="252" spans="1:19" ht="15" customHeight="1">
      <c r="A252" s="82" t="s">
        <v>117</v>
      </c>
      <c r="B252" s="93">
        <v>249</v>
      </c>
      <c r="C252" s="117">
        <f t="shared" si="35"/>
        <v>0</v>
      </c>
      <c r="D252" s="117">
        <f>IF(G251=0,0,IF(G251&lt;BondCalculator!$B$13,G251+E252,BondCalculator!$B$13))</f>
        <v>0</v>
      </c>
      <c r="E252" s="117">
        <f>C252*BondCalculator!$B$7/12</f>
        <v>0</v>
      </c>
      <c r="F252" s="117">
        <f t="shared" si="36"/>
        <v>0</v>
      </c>
      <c r="G252" s="117">
        <f t="shared" si="31"/>
        <v>0</v>
      </c>
      <c r="H252" s="94">
        <f t="shared" si="32"/>
        <v>0</v>
      </c>
      <c r="J252" s="85">
        <f t="shared" si="37"/>
        <v>0</v>
      </c>
      <c r="K252" s="85">
        <f>IF(N251=0,0,IF(N251&lt;BondCalculator!$B$14+BondCalculator!$B$15,N251+L252,BondCalculator!$B$14+BondCalculator!$B$15))</f>
        <v>0</v>
      </c>
      <c r="L252" s="85">
        <f>J252*BondCalculator!$B$7/12</f>
        <v>0</v>
      </c>
      <c r="M252" s="85">
        <f t="shared" si="38"/>
        <v>0</v>
      </c>
      <c r="N252" s="85">
        <f t="shared" si="39"/>
        <v>0</v>
      </c>
      <c r="P252" s="85">
        <f t="shared" si="40"/>
        <v>0</v>
      </c>
      <c r="Q252" s="86">
        <f>-PV(BondCalculator!$B$10/12,B252,0,1,0)</f>
        <v>0.3857077951603295</v>
      </c>
      <c r="S252" s="87">
        <f t="shared" si="29"/>
        <v>0</v>
      </c>
    </row>
    <row r="253" spans="1:19" ht="15" customHeight="1">
      <c r="A253" s="82" t="s">
        <v>117</v>
      </c>
      <c r="B253" s="93">
        <v>250</v>
      </c>
      <c r="C253" s="117">
        <f t="shared" si="35"/>
        <v>0</v>
      </c>
      <c r="D253" s="117">
        <f>IF(G252=0,0,IF(G252&lt;BondCalculator!$B$13,G252+E253,BondCalculator!$B$13))</f>
        <v>0</v>
      </c>
      <c r="E253" s="117">
        <f>C253*BondCalculator!$B$7/12</f>
        <v>0</v>
      </c>
      <c r="F253" s="117">
        <f t="shared" si="36"/>
        <v>0</v>
      </c>
      <c r="G253" s="117">
        <f t="shared" si="31"/>
        <v>0</v>
      </c>
      <c r="H253" s="94">
        <f t="shared" si="32"/>
        <v>0</v>
      </c>
      <c r="J253" s="85">
        <f t="shared" si="37"/>
        <v>0</v>
      </c>
      <c r="K253" s="85">
        <f>IF(N252=0,0,IF(N252&lt;BondCalculator!$B$14+BondCalculator!$B$15,N252+L253,BondCalculator!$B$14+BondCalculator!$B$15))</f>
        <v>0</v>
      </c>
      <c r="L253" s="85">
        <f>J253*BondCalculator!$B$7/12</f>
        <v>0</v>
      </c>
      <c r="M253" s="85">
        <f t="shared" si="38"/>
        <v>0</v>
      </c>
      <c r="N253" s="85">
        <f t="shared" si="39"/>
        <v>0</v>
      </c>
      <c r="P253" s="85">
        <f t="shared" si="40"/>
        <v>0</v>
      </c>
      <c r="Q253" s="86">
        <f>-PV(BondCalculator!$B$10/12,B253,0,1,0)</f>
        <v>0.3842348947305291</v>
      </c>
      <c r="S253" s="87">
        <f t="shared" si="29"/>
        <v>0</v>
      </c>
    </row>
    <row r="254" spans="1:19" ht="15" customHeight="1">
      <c r="A254" s="82" t="s">
        <v>117</v>
      </c>
      <c r="B254" s="93">
        <v>251</v>
      </c>
      <c r="C254" s="117">
        <f t="shared" si="35"/>
        <v>0</v>
      </c>
      <c r="D254" s="117">
        <f>IF(G253=0,0,IF(G253&lt;BondCalculator!$B$13,G253+E254,BondCalculator!$B$13))</f>
        <v>0</v>
      </c>
      <c r="E254" s="117">
        <f>C254*BondCalculator!$B$7/12</f>
        <v>0</v>
      </c>
      <c r="F254" s="117">
        <f t="shared" si="36"/>
        <v>0</v>
      </c>
      <c r="G254" s="117">
        <f t="shared" si="31"/>
        <v>0</v>
      </c>
      <c r="H254" s="94">
        <f t="shared" si="32"/>
        <v>0</v>
      </c>
      <c r="J254" s="85">
        <f t="shared" si="37"/>
        <v>0</v>
      </c>
      <c r="K254" s="85">
        <f>IF(N253=0,0,IF(N253&lt;BondCalculator!$B$14+BondCalculator!$B$15,N253+L254,BondCalculator!$B$14+BondCalculator!$B$15))</f>
        <v>0</v>
      </c>
      <c r="L254" s="85">
        <f>J254*BondCalculator!$B$7/12</f>
        <v>0</v>
      </c>
      <c r="M254" s="85">
        <f t="shared" si="38"/>
        <v>0</v>
      </c>
      <c r="N254" s="85">
        <f t="shared" si="39"/>
        <v>0</v>
      </c>
      <c r="P254" s="85">
        <f t="shared" si="40"/>
        <v>0</v>
      </c>
      <c r="Q254" s="86">
        <f>-PV(BondCalculator!$B$10/12,B254,0,1,0)</f>
        <v>0.38276761885823923</v>
      </c>
      <c r="S254" s="87">
        <f t="shared" si="29"/>
        <v>0</v>
      </c>
    </row>
    <row r="255" spans="1:19" ht="15" customHeight="1">
      <c r="A255" s="82" t="s">
        <v>117</v>
      </c>
      <c r="B255" s="93">
        <v>252</v>
      </c>
      <c r="C255" s="117">
        <f t="shared" si="35"/>
        <v>0</v>
      </c>
      <c r="D255" s="117">
        <f>IF(G254=0,0,IF(G254&lt;BondCalculator!$B$13,G254+E255,BondCalculator!$B$13))</f>
        <v>0</v>
      </c>
      <c r="E255" s="117">
        <f>C255*BondCalculator!$B$7/12</f>
        <v>0</v>
      </c>
      <c r="F255" s="117">
        <f t="shared" si="36"/>
        <v>0</v>
      </c>
      <c r="G255" s="117">
        <f t="shared" si="31"/>
        <v>0</v>
      </c>
      <c r="H255" s="94">
        <f t="shared" si="32"/>
        <v>0</v>
      </c>
      <c r="J255" s="85">
        <f t="shared" si="37"/>
        <v>0</v>
      </c>
      <c r="K255" s="85">
        <f>IF(N254=0,0,IF(N254&lt;BondCalculator!$B$14+BondCalculator!$B$15,N254+L255,BondCalculator!$B$14+BondCalculator!$B$15))</f>
        <v>0</v>
      </c>
      <c r="L255" s="85">
        <f>J255*BondCalculator!$B$7/12</f>
        <v>0</v>
      </c>
      <c r="M255" s="85">
        <f t="shared" si="38"/>
        <v>0</v>
      </c>
      <c r="N255" s="85">
        <f t="shared" si="39"/>
        <v>0</v>
      </c>
      <c r="P255" s="85">
        <f t="shared" si="40"/>
        <v>0</v>
      </c>
      <c r="Q255" s="86">
        <f>-PV(BondCalculator!$B$10/12,B255,0,1,0)</f>
        <v>0.3813059460649902</v>
      </c>
      <c r="S255" s="87">
        <f t="shared" si="29"/>
        <v>0</v>
      </c>
    </row>
    <row r="256" spans="1:19" ht="15" customHeight="1">
      <c r="A256" s="82" t="s">
        <v>118</v>
      </c>
      <c r="B256" s="93">
        <v>253</v>
      </c>
      <c r="C256" s="117">
        <f t="shared" si="35"/>
        <v>0</v>
      </c>
      <c r="D256" s="117">
        <f>IF(G255=0,0,IF(G255&lt;BondCalculator!$B$13,G255+E256,BondCalculator!$B$13))</f>
        <v>0</v>
      </c>
      <c r="E256" s="117">
        <f>C256*BondCalculator!$B$7/12</f>
        <v>0</v>
      </c>
      <c r="F256" s="117">
        <f t="shared" si="36"/>
        <v>0</v>
      </c>
      <c r="G256" s="117">
        <f t="shared" si="31"/>
        <v>0</v>
      </c>
      <c r="H256" s="94">
        <f t="shared" si="32"/>
        <v>0</v>
      </c>
      <c r="J256" s="85">
        <f t="shared" si="37"/>
        <v>0</v>
      </c>
      <c r="K256" s="85">
        <f>IF(N255=0,0,IF(N255&lt;BondCalculator!$B$14+BondCalculator!$B$15,N255+L256,BondCalculator!$B$14+BondCalculator!$B$15))</f>
        <v>0</v>
      </c>
      <c r="L256" s="85">
        <f>J256*BondCalculator!$B$7/12</f>
        <v>0</v>
      </c>
      <c r="M256" s="85">
        <f t="shared" si="38"/>
        <v>0</v>
      </c>
      <c r="N256" s="85">
        <f t="shared" si="39"/>
        <v>0</v>
      </c>
      <c r="P256" s="85">
        <f t="shared" si="40"/>
        <v>0</v>
      </c>
      <c r="Q256" s="86">
        <f>-PV(BondCalculator!$B$10/12,B256,0,1,0)</f>
        <v>0.37984985495433193</v>
      </c>
      <c r="S256" s="87">
        <f t="shared" si="29"/>
        <v>0</v>
      </c>
    </row>
    <row r="257" spans="1:19" ht="15" customHeight="1">
      <c r="A257" s="82" t="s">
        <v>118</v>
      </c>
      <c r="B257" s="93">
        <v>254</v>
      </c>
      <c r="C257" s="117">
        <f t="shared" si="35"/>
        <v>0</v>
      </c>
      <c r="D257" s="117">
        <f>IF(G256=0,0,IF(G256&lt;BondCalculator!$B$13,G256+E257,BondCalculator!$B$13))</f>
        <v>0</v>
      </c>
      <c r="E257" s="117">
        <f>C257*BondCalculator!$B$7/12</f>
        <v>0</v>
      </c>
      <c r="F257" s="117">
        <f t="shared" si="36"/>
        <v>0</v>
      </c>
      <c r="G257" s="117">
        <f t="shared" si="31"/>
        <v>0</v>
      </c>
      <c r="H257" s="94">
        <f t="shared" si="32"/>
        <v>0</v>
      </c>
      <c r="J257" s="85">
        <f t="shared" si="37"/>
        <v>0</v>
      </c>
      <c r="K257" s="85">
        <f>IF(N256=0,0,IF(N256&lt;BondCalculator!$B$14+BondCalculator!$B$15,N256+L257,BondCalculator!$B$14+BondCalculator!$B$15))</f>
        <v>0</v>
      </c>
      <c r="L257" s="85">
        <f>J257*BondCalculator!$B$7/12</f>
        <v>0</v>
      </c>
      <c r="M257" s="85">
        <f t="shared" si="38"/>
        <v>0</v>
      </c>
      <c r="N257" s="85">
        <f t="shared" si="39"/>
        <v>0</v>
      </c>
      <c r="P257" s="85">
        <f t="shared" si="40"/>
        <v>0</v>
      </c>
      <c r="Q257" s="86">
        <f>-PV(BondCalculator!$B$10/12,B257,0,1,0)</f>
        <v>0.37839932421152106</v>
      </c>
      <c r="S257" s="87">
        <f t="shared" si="29"/>
        <v>0</v>
      </c>
    </row>
    <row r="258" spans="1:19" ht="15" customHeight="1">
      <c r="A258" s="82" t="s">
        <v>118</v>
      </c>
      <c r="B258" s="93">
        <v>255</v>
      </c>
      <c r="C258" s="117">
        <f t="shared" si="35"/>
        <v>0</v>
      </c>
      <c r="D258" s="117">
        <f>IF(G257=0,0,IF(G257&lt;BondCalculator!$B$13,G257+E258,BondCalculator!$B$13))</f>
        <v>0</v>
      </c>
      <c r="E258" s="117">
        <f>C258*BondCalculator!$B$7/12</f>
        <v>0</v>
      </c>
      <c r="F258" s="117">
        <f t="shared" si="36"/>
        <v>0</v>
      </c>
      <c r="G258" s="117">
        <f t="shared" si="31"/>
        <v>0</v>
      </c>
      <c r="H258" s="94">
        <f t="shared" si="32"/>
        <v>0</v>
      </c>
      <c r="J258" s="85">
        <f t="shared" si="37"/>
        <v>0</v>
      </c>
      <c r="K258" s="85">
        <f>IF(N257=0,0,IF(N257&lt;BondCalculator!$B$14+BondCalculator!$B$15,N257+L258,BondCalculator!$B$14+BondCalculator!$B$15))</f>
        <v>0</v>
      </c>
      <c r="L258" s="85">
        <f>J258*BondCalculator!$B$7/12</f>
        <v>0</v>
      </c>
      <c r="M258" s="85">
        <f t="shared" si="38"/>
        <v>0</v>
      </c>
      <c r="N258" s="85">
        <f t="shared" si="39"/>
        <v>0</v>
      </c>
      <c r="P258" s="85">
        <f t="shared" si="40"/>
        <v>0</v>
      </c>
      <c r="Q258" s="86">
        <f>-PV(BondCalculator!$B$10/12,B258,0,1,0)</f>
        <v>0.3769543326032087</v>
      </c>
      <c r="S258" s="87">
        <f t="shared" si="29"/>
        <v>0</v>
      </c>
    </row>
    <row r="259" spans="1:19" ht="15" customHeight="1">
      <c r="A259" s="82" t="s">
        <v>118</v>
      </c>
      <c r="B259" s="93">
        <v>256</v>
      </c>
      <c r="C259" s="117">
        <f t="shared" si="35"/>
        <v>0</v>
      </c>
      <c r="D259" s="117">
        <f>IF(G258=0,0,IF(G258&lt;BondCalculator!$B$13,G258+E259,BondCalculator!$B$13))</f>
        <v>0</v>
      </c>
      <c r="E259" s="117">
        <f>C259*BondCalculator!$B$7/12</f>
        <v>0</v>
      </c>
      <c r="F259" s="117">
        <f t="shared" si="36"/>
        <v>0</v>
      </c>
      <c r="G259" s="117">
        <f t="shared" si="31"/>
        <v>0</v>
      </c>
      <c r="H259" s="94">
        <f t="shared" si="32"/>
        <v>0</v>
      </c>
      <c r="J259" s="85">
        <f t="shared" si="37"/>
        <v>0</v>
      </c>
      <c r="K259" s="85">
        <f>IF(N258=0,0,IF(N258&lt;BondCalculator!$B$14+BondCalculator!$B$15,N258+L259,BondCalculator!$B$14+BondCalculator!$B$15))</f>
        <v>0</v>
      </c>
      <c r="L259" s="85">
        <f>J259*BondCalculator!$B$7/12</f>
        <v>0</v>
      </c>
      <c r="M259" s="85">
        <f t="shared" si="38"/>
        <v>0</v>
      </c>
      <c r="N259" s="85">
        <f t="shared" si="39"/>
        <v>0</v>
      </c>
      <c r="P259" s="85">
        <f t="shared" si="40"/>
        <v>0</v>
      </c>
      <c r="Q259" s="86">
        <f>-PV(BondCalculator!$B$10/12,B259,0,1,0)</f>
        <v>0.37551485897712983</v>
      </c>
      <c r="S259" s="87">
        <f t="shared" si="29"/>
        <v>0</v>
      </c>
    </row>
    <row r="260" spans="1:19" ht="15" customHeight="1">
      <c r="A260" s="82" t="s">
        <v>118</v>
      </c>
      <c r="B260" s="93">
        <v>257</v>
      </c>
      <c r="C260" s="117">
        <f t="shared" si="35"/>
        <v>0</v>
      </c>
      <c r="D260" s="117">
        <f>IF(G259=0,0,IF(G259&lt;BondCalculator!$B$13,G259+E260,BondCalculator!$B$13))</f>
        <v>0</v>
      </c>
      <c r="E260" s="117">
        <f>C260*BondCalculator!$B$7/12</f>
        <v>0</v>
      </c>
      <c r="F260" s="117">
        <f t="shared" si="36"/>
        <v>0</v>
      </c>
      <c r="G260" s="117">
        <f t="shared" si="31"/>
        <v>0</v>
      </c>
      <c r="H260" s="94">
        <f t="shared" si="32"/>
        <v>0</v>
      </c>
      <c r="J260" s="85">
        <f t="shared" si="37"/>
        <v>0</v>
      </c>
      <c r="K260" s="85">
        <f>IF(N259=0,0,IF(N259&lt;BondCalculator!$B$14+BondCalculator!$B$15,N259+L260,BondCalculator!$B$14+BondCalculator!$B$15))</f>
        <v>0</v>
      </c>
      <c r="L260" s="85">
        <f>J260*BondCalculator!$B$7/12</f>
        <v>0</v>
      </c>
      <c r="M260" s="85">
        <f t="shared" si="38"/>
        <v>0</v>
      </c>
      <c r="N260" s="85">
        <f t="shared" si="39"/>
        <v>0</v>
      </c>
      <c r="P260" s="85">
        <f t="shared" si="40"/>
        <v>0</v>
      </c>
      <c r="Q260" s="86">
        <f>-PV(BondCalculator!$B$10/12,B260,0,1,0)</f>
        <v>0.3740808822617929</v>
      </c>
      <c r="S260" s="87">
        <f aca="true" t="shared" si="41" ref="S260:S323">P260*Q260</f>
        <v>0</v>
      </c>
    </row>
    <row r="261" spans="1:19" ht="15" customHeight="1">
      <c r="A261" s="82" t="s">
        <v>118</v>
      </c>
      <c r="B261" s="93">
        <v>258</v>
      </c>
      <c r="C261" s="117">
        <f t="shared" si="35"/>
        <v>0</v>
      </c>
      <c r="D261" s="117">
        <f>IF(G260=0,0,IF(G260&lt;BondCalculator!$B$13,G260+E261,BondCalculator!$B$13))</f>
        <v>0</v>
      </c>
      <c r="E261" s="117">
        <f>C261*BondCalculator!$B$7/12</f>
        <v>0</v>
      </c>
      <c r="F261" s="117">
        <f t="shared" si="36"/>
        <v>0</v>
      </c>
      <c r="G261" s="117">
        <f aca="true" t="shared" si="42" ref="G261:G324">IF(ROUND(C261-F261,0)=0,0,C261-F261)</f>
        <v>0</v>
      </c>
      <c r="H261" s="94">
        <f aca="true" t="shared" si="43" ref="H261:H324">G261/$C$4</f>
        <v>0</v>
      </c>
      <c r="J261" s="85">
        <f t="shared" si="37"/>
        <v>0</v>
      </c>
      <c r="K261" s="85">
        <f>IF(N260=0,0,IF(N260&lt;BondCalculator!$B$14+BondCalculator!$B$15,N260+L261,BondCalculator!$B$14+BondCalculator!$B$15))</f>
        <v>0</v>
      </c>
      <c r="L261" s="85">
        <f>J261*BondCalculator!$B$7/12</f>
        <v>0</v>
      </c>
      <c r="M261" s="85">
        <f t="shared" si="38"/>
        <v>0</v>
      </c>
      <c r="N261" s="85">
        <f t="shared" si="39"/>
        <v>0</v>
      </c>
      <c r="P261" s="85">
        <f t="shared" si="40"/>
        <v>0</v>
      </c>
      <c r="Q261" s="86">
        <f>-PV(BondCalculator!$B$10/12,B261,0,1,0)</f>
        <v>0.37265238146617263</v>
      </c>
      <c r="S261" s="87">
        <f t="shared" si="41"/>
        <v>0</v>
      </c>
    </row>
    <row r="262" spans="1:19" ht="15" customHeight="1">
      <c r="A262" s="82" t="s">
        <v>118</v>
      </c>
      <c r="B262" s="93">
        <v>259</v>
      </c>
      <c r="C262" s="117">
        <f aca="true" t="shared" si="44" ref="C262:C325">IF(ROUND(G261,0)=0,0,G261)</f>
        <v>0</v>
      </c>
      <c r="D262" s="117">
        <f>IF(G261=0,0,IF(G261&lt;BondCalculator!$B$13,G261+E262,BondCalculator!$B$13))</f>
        <v>0</v>
      </c>
      <c r="E262" s="117">
        <f>C262*BondCalculator!$B$7/12</f>
        <v>0</v>
      </c>
      <c r="F262" s="117">
        <f t="shared" si="36"/>
        <v>0</v>
      </c>
      <c r="G262" s="117">
        <f t="shared" si="42"/>
        <v>0</v>
      </c>
      <c r="H262" s="94">
        <f t="shared" si="43"/>
        <v>0</v>
      </c>
      <c r="J262" s="85">
        <f t="shared" si="37"/>
        <v>0</v>
      </c>
      <c r="K262" s="85">
        <f>IF(N261=0,0,IF(N261&lt;BondCalculator!$B$14+BondCalculator!$B$15,N261+L262,BondCalculator!$B$14+BondCalculator!$B$15))</f>
        <v>0</v>
      </c>
      <c r="L262" s="85">
        <f>J262*BondCalculator!$B$7/12</f>
        <v>0</v>
      </c>
      <c r="M262" s="85">
        <f t="shared" si="38"/>
        <v>0</v>
      </c>
      <c r="N262" s="85">
        <f t="shared" si="39"/>
        <v>0</v>
      </c>
      <c r="P262" s="85">
        <f t="shared" si="40"/>
        <v>0</v>
      </c>
      <c r="Q262" s="86">
        <f>-PV(BondCalculator!$B$10/12,B262,0,1,0)</f>
        <v>0.3712293356794016</v>
      </c>
      <c r="S262" s="87">
        <f t="shared" si="41"/>
        <v>0</v>
      </c>
    </row>
    <row r="263" spans="1:19" ht="15" customHeight="1">
      <c r="A263" s="82" t="s">
        <v>118</v>
      </c>
      <c r="B263" s="93">
        <v>260</v>
      </c>
      <c r="C263" s="117">
        <f t="shared" si="44"/>
        <v>0</v>
      </c>
      <c r="D263" s="117">
        <f>IF(G262=0,0,IF(G262&lt;BondCalculator!$B$13,G262+E263,BondCalculator!$B$13))</f>
        <v>0</v>
      </c>
      <c r="E263" s="117">
        <f>C263*BondCalculator!$B$7/12</f>
        <v>0</v>
      </c>
      <c r="F263" s="117">
        <f t="shared" si="36"/>
        <v>0</v>
      </c>
      <c r="G263" s="117">
        <f t="shared" si="42"/>
        <v>0</v>
      </c>
      <c r="H263" s="94">
        <f t="shared" si="43"/>
        <v>0</v>
      </c>
      <c r="J263" s="85">
        <f t="shared" si="37"/>
        <v>0</v>
      </c>
      <c r="K263" s="85">
        <f>IF(N262=0,0,IF(N262&lt;BondCalculator!$B$14+BondCalculator!$B$15,N262+L263,BondCalculator!$B$14+BondCalculator!$B$15))</f>
        <v>0</v>
      </c>
      <c r="L263" s="85">
        <f>J263*BondCalculator!$B$7/12</f>
        <v>0</v>
      </c>
      <c r="M263" s="85">
        <f t="shared" si="38"/>
        <v>0</v>
      </c>
      <c r="N263" s="85">
        <f t="shared" si="39"/>
        <v>0</v>
      </c>
      <c r="P263" s="85">
        <f t="shared" si="40"/>
        <v>0</v>
      </c>
      <c r="Q263" s="86">
        <f>-PV(BondCalculator!$B$10/12,B263,0,1,0)</f>
        <v>0.36981172407046486</v>
      </c>
      <c r="S263" s="87">
        <f t="shared" si="41"/>
        <v>0</v>
      </c>
    </row>
    <row r="264" spans="1:19" ht="15" customHeight="1">
      <c r="A264" s="82" t="s">
        <v>118</v>
      </c>
      <c r="B264" s="93">
        <v>261</v>
      </c>
      <c r="C264" s="117">
        <f t="shared" si="44"/>
        <v>0</v>
      </c>
      <c r="D264" s="117">
        <f>IF(G263=0,0,IF(G263&lt;BondCalculator!$B$13,G263+E264,BondCalculator!$B$13))</f>
        <v>0</v>
      </c>
      <c r="E264" s="117">
        <f>C264*BondCalculator!$B$7/12</f>
        <v>0</v>
      </c>
      <c r="F264" s="117">
        <f t="shared" si="36"/>
        <v>0</v>
      </c>
      <c r="G264" s="117">
        <f t="shared" si="42"/>
        <v>0</v>
      </c>
      <c r="H264" s="94">
        <f t="shared" si="43"/>
        <v>0</v>
      </c>
      <c r="J264" s="85">
        <f t="shared" si="37"/>
        <v>0</v>
      </c>
      <c r="K264" s="85">
        <f>IF(N263=0,0,IF(N263&lt;BondCalculator!$B$14+BondCalculator!$B$15,N263+L264,BondCalculator!$B$14+BondCalculator!$B$15))</f>
        <v>0</v>
      </c>
      <c r="L264" s="85">
        <f>J264*BondCalculator!$B$7/12</f>
        <v>0</v>
      </c>
      <c r="M264" s="85">
        <f t="shared" si="38"/>
        <v>0</v>
      </c>
      <c r="N264" s="85">
        <f t="shared" si="39"/>
        <v>0</v>
      </c>
      <c r="P264" s="85">
        <f t="shared" si="40"/>
        <v>0</v>
      </c>
      <c r="Q264" s="86">
        <f>-PV(BondCalculator!$B$10/12,B264,0,1,0)</f>
        <v>0.36839952588789454</v>
      </c>
      <c r="S264" s="87">
        <f t="shared" si="41"/>
        <v>0</v>
      </c>
    </row>
    <row r="265" spans="1:19" ht="15" customHeight="1">
      <c r="A265" s="82" t="s">
        <v>118</v>
      </c>
      <c r="B265" s="93">
        <v>262</v>
      </c>
      <c r="C265" s="117">
        <f t="shared" si="44"/>
        <v>0</v>
      </c>
      <c r="D265" s="117">
        <f>IF(G264=0,0,IF(G264&lt;BondCalculator!$B$13,G264+E265,BondCalculator!$B$13))</f>
        <v>0</v>
      </c>
      <c r="E265" s="117">
        <f>C265*BondCalculator!$B$7/12</f>
        <v>0</v>
      </c>
      <c r="F265" s="117">
        <f t="shared" si="36"/>
        <v>0</v>
      </c>
      <c r="G265" s="117">
        <f t="shared" si="42"/>
        <v>0</v>
      </c>
      <c r="H265" s="94">
        <f t="shared" si="43"/>
        <v>0</v>
      </c>
      <c r="J265" s="85">
        <f t="shared" si="37"/>
        <v>0</v>
      </c>
      <c r="K265" s="85">
        <f>IF(N264=0,0,IF(N264&lt;BondCalculator!$B$14+BondCalculator!$B$15,N264+L265,BondCalculator!$B$14+BondCalculator!$B$15))</f>
        <v>0</v>
      </c>
      <c r="L265" s="85">
        <f>J265*BondCalculator!$B$7/12</f>
        <v>0</v>
      </c>
      <c r="M265" s="85">
        <f t="shared" si="38"/>
        <v>0</v>
      </c>
      <c r="N265" s="85">
        <f t="shared" si="39"/>
        <v>0</v>
      </c>
      <c r="P265" s="85">
        <f t="shared" si="40"/>
        <v>0</v>
      </c>
      <c r="Q265" s="86">
        <f>-PV(BondCalculator!$B$10/12,B265,0,1,0)</f>
        <v>0.36699272045946657</v>
      </c>
      <c r="S265" s="87">
        <f t="shared" si="41"/>
        <v>0</v>
      </c>
    </row>
    <row r="266" spans="1:19" ht="15" customHeight="1">
      <c r="A266" s="82" t="s">
        <v>118</v>
      </c>
      <c r="B266" s="93">
        <v>263</v>
      </c>
      <c r="C266" s="117">
        <f t="shared" si="44"/>
        <v>0</v>
      </c>
      <c r="D266" s="117">
        <f>IF(G265=0,0,IF(G265&lt;BondCalculator!$B$13,G265+E266,BondCalculator!$B$13))</f>
        <v>0</v>
      </c>
      <c r="E266" s="117">
        <f>C266*BondCalculator!$B$7/12</f>
        <v>0</v>
      </c>
      <c r="F266" s="117">
        <f t="shared" si="36"/>
        <v>0</v>
      </c>
      <c r="G266" s="117">
        <f t="shared" si="42"/>
        <v>0</v>
      </c>
      <c r="H266" s="94">
        <f t="shared" si="43"/>
        <v>0</v>
      </c>
      <c r="J266" s="85">
        <f t="shared" si="37"/>
        <v>0</v>
      </c>
      <c r="K266" s="85">
        <f>IF(N265=0,0,IF(N265&lt;BondCalculator!$B$14+BondCalculator!$B$15,N265+L266,BondCalculator!$B$14+BondCalculator!$B$15))</f>
        <v>0</v>
      </c>
      <c r="L266" s="85">
        <f>J266*BondCalculator!$B$7/12</f>
        <v>0</v>
      </c>
      <c r="M266" s="85">
        <f t="shared" si="38"/>
        <v>0</v>
      </c>
      <c r="N266" s="85">
        <f t="shared" si="39"/>
        <v>0</v>
      </c>
      <c r="P266" s="85">
        <f t="shared" si="40"/>
        <v>0</v>
      </c>
      <c r="Q266" s="86">
        <f>-PV(BondCalculator!$B$10/12,B266,0,1,0)</f>
        <v>0.36559128719189765</v>
      </c>
      <c r="S266" s="87">
        <f t="shared" si="41"/>
        <v>0</v>
      </c>
    </row>
    <row r="267" spans="1:19" ht="15" customHeight="1">
      <c r="A267" s="82" t="s">
        <v>118</v>
      </c>
      <c r="B267" s="93">
        <v>264</v>
      </c>
      <c r="C267" s="117">
        <f t="shared" si="44"/>
        <v>0</v>
      </c>
      <c r="D267" s="117">
        <f>IF(G266=0,0,IF(G266&lt;BondCalculator!$B$13,G266+E267,BondCalculator!$B$13))</f>
        <v>0</v>
      </c>
      <c r="E267" s="117">
        <f>C267*BondCalculator!$B$7/12</f>
        <v>0</v>
      </c>
      <c r="F267" s="117">
        <f t="shared" si="36"/>
        <v>0</v>
      </c>
      <c r="G267" s="117">
        <f t="shared" si="42"/>
        <v>0</v>
      </c>
      <c r="H267" s="94">
        <f t="shared" si="43"/>
        <v>0</v>
      </c>
      <c r="J267" s="85">
        <f t="shared" si="37"/>
        <v>0</v>
      </c>
      <c r="K267" s="85">
        <f>IF(N266=0,0,IF(N266&lt;BondCalculator!$B$14+BondCalculator!$B$15,N266+L267,BondCalculator!$B$14+BondCalculator!$B$15))</f>
        <v>0</v>
      </c>
      <c r="L267" s="85">
        <f>J267*BondCalculator!$B$7/12</f>
        <v>0</v>
      </c>
      <c r="M267" s="85">
        <f t="shared" si="38"/>
        <v>0</v>
      </c>
      <c r="N267" s="85">
        <f t="shared" si="39"/>
        <v>0</v>
      </c>
      <c r="P267" s="85">
        <f t="shared" si="40"/>
        <v>0</v>
      </c>
      <c r="Q267" s="86">
        <f>-PV(BondCalculator!$B$10/12,B267,0,1,0)</f>
        <v>0.36419520557054397</v>
      </c>
      <c r="S267" s="87">
        <f t="shared" si="41"/>
        <v>0</v>
      </c>
    </row>
    <row r="268" spans="1:19" ht="15" customHeight="1">
      <c r="A268" s="82" t="s">
        <v>119</v>
      </c>
      <c r="B268" s="93">
        <v>265</v>
      </c>
      <c r="C268" s="117">
        <f t="shared" si="44"/>
        <v>0</v>
      </c>
      <c r="D268" s="117">
        <f>IF(G267=0,0,IF(G267&lt;BondCalculator!$B$13,G267+E268,BondCalculator!$B$13))</f>
        <v>0</v>
      </c>
      <c r="E268" s="117">
        <f>C268*BondCalculator!$B$7/12</f>
        <v>0</v>
      </c>
      <c r="F268" s="117">
        <f t="shared" si="36"/>
        <v>0</v>
      </c>
      <c r="G268" s="117">
        <f t="shared" si="42"/>
        <v>0</v>
      </c>
      <c r="H268" s="94">
        <f t="shared" si="43"/>
        <v>0</v>
      </c>
      <c r="J268" s="85">
        <f t="shared" si="37"/>
        <v>0</v>
      </c>
      <c r="K268" s="85">
        <f>IF(N267=0,0,IF(N267&lt;BondCalculator!$B$14+BondCalculator!$B$15,N267+L268,BondCalculator!$B$14+BondCalculator!$B$15))</f>
        <v>0</v>
      </c>
      <c r="L268" s="85">
        <f>J268*BondCalculator!$B$7/12</f>
        <v>0</v>
      </c>
      <c r="M268" s="85">
        <f t="shared" si="38"/>
        <v>0</v>
      </c>
      <c r="N268" s="85">
        <f t="shared" si="39"/>
        <v>0</v>
      </c>
      <c r="P268" s="85">
        <f t="shared" si="40"/>
        <v>0</v>
      </c>
      <c r="Q268" s="86">
        <f>-PV(BondCalculator!$B$10/12,B268,0,1,0)</f>
        <v>0.36280445515910065</v>
      </c>
      <c r="S268" s="87">
        <f t="shared" si="41"/>
        <v>0</v>
      </c>
    </row>
    <row r="269" spans="1:19" ht="15" customHeight="1">
      <c r="A269" s="82" t="s">
        <v>119</v>
      </c>
      <c r="B269" s="93">
        <v>266</v>
      </c>
      <c r="C269" s="117">
        <f t="shared" si="44"/>
        <v>0</v>
      </c>
      <c r="D269" s="117">
        <f>IF(G268=0,0,IF(G268&lt;BondCalculator!$B$13,G268+E269,BondCalculator!$B$13))</f>
        <v>0</v>
      </c>
      <c r="E269" s="117">
        <f>C269*BondCalculator!$B$7/12</f>
        <v>0</v>
      </c>
      <c r="F269" s="117">
        <f t="shared" si="36"/>
        <v>0</v>
      </c>
      <c r="G269" s="117">
        <f t="shared" si="42"/>
        <v>0</v>
      </c>
      <c r="H269" s="94">
        <f t="shared" si="43"/>
        <v>0</v>
      </c>
      <c r="J269" s="85">
        <f t="shared" si="37"/>
        <v>0</v>
      </c>
      <c r="K269" s="85">
        <f>IF(N268=0,0,IF(N268&lt;BondCalculator!$B$14+BondCalculator!$B$15,N268+L269,BondCalculator!$B$14+BondCalculator!$B$15))</f>
        <v>0</v>
      </c>
      <c r="L269" s="85">
        <f>J269*BondCalculator!$B$7/12</f>
        <v>0</v>
      </c>
      <c r="M269" s="85">
        <f t="shared" si="38"/>
        <v>0</v>
      </c>
      <c r="N269" s="85">
        <f t="shared" si="39"/>
        <v>0</v>
      </c>
      <c r="P269" s="85">
        <f t="shared" si="40"/>
        <v>0</v>
      </c>
      <c r="Q269" s="86">
        <f>-PV(BondCalculator!$B$10/12,B269,0,1,0)</f>
        <v>0.3614190155993034</v>
      </c>
      <c r="S269" s="87">
        <f t="shared" si="41"/>
        <v>0</v>
      </c>
    </row>
    <row r="270" spans="1:19" ht="15" customHeight="1">
      <c r="A270" s="82" t="s">
        <v>119</v>
      </c>
      <c r="B270" s="93">
        <v>267</v>
      </c>
      <c r="C270" s="117">
        <f t="shared" si="44"/>
        <v>0</v>
      </c>
      <c r="D270" s="117">
        <f>IF(G269=0,0,IF(G269&lt;BondCalculator!$B$13,G269+E270,BondCalculator!$B$13))</f>
        <v>0</v>
      </c>
      <c r="E270" s="117">
        <f>C270*BondCalculator!$B$7/12</f>
        <v>0</v>
      </c>
      <c r="F270" s="117">
        <f t="shared" si="36"/>
        <v>0</v>
      </c>
      <c r="G270" s="117">
        <f t="shared" si="42"/>
        <v>0</v>
      </c>
      <c r="H270" s="94">
        <f t="shared" si="43"/>
        <v>0</v>
      </c>
      <c r="J270" s="85">
        <f t="shared" si="37"/>
        <v>0</v>
      </c>
      <c r="K270" s="85">
        <f>IF(N269=0,0,IF(N269&lt;BondCalculator!$B$14+BondCalculator!$B$15,N269+L270,BondCalculator!$B$14+BondCalculator!$B$15))</f>
        <v>0</v>
      </c>
      <c r="L270" s="85">
        <f>J270*BondCalculator!$B$7/12</f>
        <v>0</v>
      </c>
      <c r="M270" s="85">
        <f t="shared" si="38"/>
        <v>0</v>
      </c>
      <c r="N270" s="85">
        <f t="shared" si="39"/>
        <v>0</v>
      </c>
      <c r="P270" s="85">
        <f t="shared" si="40"/>
        <v>0</v>
      </c>
      <c r="Q270" s="86">
        <f>-PV(BondCalculator!$B$10/12,B270,0,1,0)</f>
        <v>0.3600388666106293</v>
      </c>
      <c r="S270" s="87">
        <f t="shared" si="41"/>
        <v>0</v>
      </c>
    </row>
    <row r="271" spans="1:19" ht="15" customHeight="1">
      <c r="A271" s="82" t="s">
        <v>119</v>
      </c>
      <c r="B271" s="93">
        <v>268</v>
      </c>
      <c r="C271" s="117">
        <f t="shared" si="44"/>
        <v>0</v>
      </c>
      <c r="D271" s="117">
        <f>IF(G270=0,0,IF(G270&lt;BondCalculator!$B$13,G270+E271,BondCalculator!$B$13))</f>
        <v>0</v>
      </c>
      <c r="E271" s="117">
        <f>C271*BondCalculator!$B$7/12</f>
        <v>0</v>
      </c>
      <c r="F271" s="117">
        <f t="shared" si="36"/>
        <v>0</v>
      </c>
      <c r="G271" s="117">
        <f t="shared" si="42"/>
        <v>0</v>
      </c>
      <c r="H271" s="94">
        <f t="shared" si="43"/>
        <v>0</v>
      </c>
      <c r="J271" s="85">
        <f t="shared" si="37"/>
        <v>0</v>
      </c>
      <c r="K271" s="85">
        <f>IF(N270=0,0,IF(N270&lt;BondCalculator!$B$14+BondCalculator!$B$15,N270+L271,BondCalculator!$B$14+BondCalculator!$B$15))</f>
        <v>0</v>
      </c>
      <c r="L271" s="85">
        <f>J271*BondCalculator!$B$7/12</f>
        <v>0</v>
      </c>
      <c r="M271" s="85">
        <f t="shared" si="38"/>
        <v>0</v>
      </c>
      <c r="N271" s="85">
        <f t="shared" si="39"/>
        <v>0</v>
      </c>
      <c r="P271" s="85">
        <f t="shared" si="40"/>
        <v>0</v>
      </c>
      <c r="Q271" s="86">
        <f>-PV(BondCalculator!$B$10/12,B271,0,1,0)</f>
        <v>0.358663987990001</v>
      </c>
      <c r="S271" s="87">
        <f t="shared" si="41"/>
        <v>0</v>
      </c>
    </row>
    <row r="272" spans="1:19" ht="15" customHeight="1">
      <c r="A272" s="82" t="s">
        <v>119</v>
      </c>
      <c r="B272" s="93">
        <v>269</v>
      </c>
      <c r="C272" s="117">
        <f t="shared" si="44"/>
        <v>0</v>
      </c>
      <c r="D272" s="117">
        <f>IF(G271=0,0,IF(G271&lt;BondCalculator!$B$13,G271+E272,BondCalculator!$B$13))</f>
        <v>0</v>
      </c>
      <c r="E272" s="117">
        <f>C272*BondCalculator!$B$7/12</f>
        <v>0</v>
      </c>
      <c r="F272" s="117">
        <f t="shared" si="36"/>
        <v>0</v>
      </c>
      <c r="G272" s="117">
        <f t="shared" si="42"/>
        <v>0</v>
      </c>
      <c r="H272" s="94">
        <f t="shared" si="43"/>
        <v>0</v>
      </c>
      <c r="J272" s="85">
        <f t="shared" si="37"/>
        <v>0</v>
      </c>
      <c r="K272" s="85">
        <f>IF(N271=0,0,IF(N271&lt;BondCalculator!$B$14+BondCalculator!$B$15,N271+L272,BondCalculator!$B$14+BondCalculator!$B$15))</f>
        <v>0</v>
      </c>
      <c r="L272" s="85">
        <f>J272*BondCalculator!$B$7/12</f>
        <v>0</v>
      </c>
      <c r="M272" s="85">
        <f t="shared" si="38"/>
        <v>0</v>
      </c>
      <c r="N272" s="85">
        <f t="shared" si="39"/>
        <v>0</v>
      </c>
      <c r="P272" s="85">
        <f t="shared" si="40"/>
        <v>0</v>
      </c>
      <c r="Q272" s="86">
        <f>-PV(BondCalculator!$B$10/12,B272,0,1,0)</f>
        <v>0.3572943596114903</v>
      </c>
      <c r="S272" s="87">
        <f t="shared" si="41"/>
        <v>0</v>
      </c>
    </row>
    <row r="273" spans="1:19" ht="15" customHeight="1">
      <c r="A273" s="82" t="s">
        <v>119</v>
      </c>
      <c r="B273" s="93">
        <v>270</v>
      </c>
      <c r="C273" s="117">
        <f t="shared" si="44"/>
        <v>0</v>
      </c>
      <c r="D273" s="117">
        <f>IF(G272=0,0,IF(G272&lt;BondCalculator!$B$13,G272+E273,BondCalculator!$B$13))</f>
        <v>0</v>
      </c>
      <c r="E273" s="117">
        <f>C273*BondCalculator!$B$7/12</f>
        <v>0</v>
      </c>
      <c r="F273" s="117">
        <f t="shared" si="36"/>
        <v>0</v>
      </c>
      <c r="G273" s="117">
        <f t="shared" si="42"/>
        <v>0</v>
      </c>
      <c r="H273" s="94">
        <f t="shared" si="43"/>
        <v>0</v>
      </c>
      <c r="J273" s="85">
        <f t="shared" si="37"/>
        <v>0</v>
      </c>
      <c r="K273" s="85">
        <f>IF(N272=0,0,IF(N272&lt;BondCalculator!$B$14+BondCalculator!$B$15,N272+L273,BondCalculator!$B$14+BondCalculator!$B$15))</f>
        <v>0</v>
      </c>
      <c r="L273" s="85">
        <f>J273*BondCalculator!$B$7/12</f>
        <v>0</v>
      </c>
      <c r="M273" s="85">
        <f t="shared" si="38"/>
        <v>0</v>
      </c>
      <c r="N273" s="85">
        <f t="shared" si="39"/>
        <v>0</v>
      </c>
      <c r="P273" s="85">
        <f t="shared" si="40"/>
        <v>0</v>
      </c>
      <c r="Q273" s="86">
        <f>-PV(BondCalculator!$B$10/12,B273,0,1,0)</f>
        <v>0.35592996142602384</v>
      </c>
      <c r="S273" s="87">
        <f t="shared" si="41"/>
        <v>0</v>
      </c>
    </row>
    <row r="274" spans="1:19" ht="15" customHeight="1">
      <c r="A274" s="82" t="s">
        <v>119</v>
      </c>
      <c r="B274" s="93">
        <v>271</v>
      </c>
      <c r="C274" s="117">
        <f t="shared" si="44"/>
        <v>0</v>
      </c>
      <c r="D274" s="117">
        <f>IF(G273=0,0,IF(G273&lt;BondCalculator!$B$13,G273+E274,BondCalculator!$B$13))</f>
        <v>0</v>
      </c>
      <c r="E274" s="117">
        <f>C274*BondCalculator!$B$7/12</f>
        <v>0</v>
      </c>
      <c r="F274" s="117">
        <f t="shared" si="36"/>
        <v>0</v>
      </c>
      <c r="G274" s="117">
        <f t="shared" si="42"/>
        <v>0</v>
      </c>
      <c r="H274" s="94">
        <f t="shared" si="43"/>
        <v>0</v>
      </c>
      <c r="J274" s="85">
        <f t="shared" si="37"/>
        <v>0</v>
      </c>
      <c r="K274" s="85">
        <f>IF(N273=0,0,IF(N273&lt;BondCalculator!$B$14+BondCalculator!$B$15,N273+L274,BondCalculator!$B$14+BondCalculator!$B$15))</f>
        <v>0</v>
      </c>
      <c r="L274" s="85">
        <f>J274*BondCalculator!$B$7/12</f>
        <v>0</v>
      </c>
      <c r="M274" s="85">
        <f t="shared" si="38"/>
        <v>0</v>
      </c>
      <c r="N274" s="85">
        <f t="shared" si="39"/>
        <v>0</v>
      </c>
      <c r="P274" s="85">
        <f t="shared" si="40"/>
        <v>0</v>
      </c>
      <c r="Q274" s="86">
        <f>-PV(BondCalculator!$B$10/12,B274,0,1,0)</f>
        <v>0.35457077346108967</v>
      </c>
      <c r="S274" s="87">
        <f t="shared" si="41"/>
        <v>0</v>
      </c>
    </row>
    <row r="275" spans="1:19" ht="15" customHeight="1">
      <c r="A275" s="82" t="s">
        <v>119</v>
      </c>
      <c r="B275" s="93">
        <v>272</v>
      </c>
      <c r="C275" s="117">
        <f t="shared" si="44"/>
        <v>0</v>
      </c>
      <c r="D275" s="117">
        <f>IF(G274=0,0,IF(G274&lt;BondCalculator!$B$13,G274+E275,BondCalculator!$B$13))</f>
        <v>0</v>
      </c>
      <c r="E275" s="117">
        <f>C275*BondCalculator!$B$7/12</f>
        <v>0</v>
      </c>
      <c r="F275" s="117">
        <f t="shared" si="36"/>
        <v>0</v>
      </c>
      <c r="G275" s="117">
        <f t="shared" si="42"/>
        <v>0</v>
      </c>
      <c r="H275" s="94">
        <f t="shared" si="43"/>
        <v>0</v>
      </c>
      <c r="J275" s="85">
        <f t="shared" si="37"/>
        <v>0</v>
      </c>
      <c r="K275" s="85">
        <f>IF(N274=0,0,IF(N274&lt;BondCalculator!$B$14+BondCalculator!$B$15,N274+L275,BondCalculator!$B$14+BondCalculator!$B$15))</f>
        <v>0</v>
      </c>
      <c r="L275" s="85">
        <f>J275*BondCalculator!$B$7/12</f>
        <v>0</v>
      </c>
      <c r="M275" s="85">
        <f t="shared" si="38"/>
        <v>0</v>
      </c>
      <c r="N275" s="85">
        <f t="shared" si="39"/>
        <v>0</v>
      </c>
      <c r="P275" s="85">
        <f t="shared" si="40"/>
        <v>0</v>
      </c>
      <c r="Q275" s="86">
        <f>-PV(BondCalculator!$B$10/12,B275,0,1,0)</f>
        <v>0.3532167758204447</v>
      </c>
      <c r="S275" s="87">
        <f t="shared" si="41"/>
        <v>0</v>
      </c>
    </row>
    <row r="276" spans="1:19" ht="15" customHeight="1">
      <c r="A276" s="82" t="s">
        <v>119</v>
      </c>
      <c r="B276" s="93">
        <v>273</v>
      </c>
      <c r="C276" s="117">
        <f t="shared" si="44"/>
        <v>0</v>
      </c>
      <c r="D276" s="117">
        <f>IF(G275=0,0,IF(G275&lt;BondCalculator!$B$13,G275+E276,BondCalculator!$B$13))</f>
        <v>0</v>
      </c>
      <c r="E276" s="117">
        <f>C276*BondCalculator!$B$7/12</f>
        <v>0</v>
      </c>
      <c r="F276" s="117">
        <f t="shared" si="36"/>
        <v>0</v>
      </c>
      <c r="G276" s="117">
        <f t="shared" si="42"/>
        <v>0</v>
      </c>
      <c r="H276" s="94">
        <f t="shared" si="43"/>
        <v>0</v>
      </c>
      <c r="J276" s="85">
        <f t="shared" si="37"/>
        <v>0</v>
      </c>
      <c r="K276" s="85">
        <f>IF(N275=0,0,IF(N275&lt;BondCalculator!$B$14+BondCalculator!$B$15,N275+L276,BondCalculator!$B$14+BondCalculator!$B$15))</f>
        <v>0</v>
      </c>
      <c r="L276" s="85">
        <f>J276*BondCalculator!$B$7/12</f>
        <v>0</v>
      </c>
      <c r="M276" s="85">
        <f t="shared" si="38"/>
        <v>0</v>
      </c>
      <c r="N276" s="85">
        <f t="shared" si="39"/>
        <v>0</v>
      </c>
      <c r="P276" s="85">
        <f t="shared" si="40"/>
        <v>0</v>
      </c>
      <c r="Q276" s="86">
        <f>-PV(BondCalculator!$B$10/12,B276,0,1,0)</f>
        <v>0.3518679486838234</v>
      </c>
      <c r="S276" s="87">
        <f t="shared" si="41"/>
        <v>0</v>
      </c>
    </row>
    <row r="277" spans="1:19" ht="15" customHeight="1">
      <c r="A277" s="82" t="s">
        <v>119</v>
      </c>
      <c r="B277" s="93">
        <v>274</v>
      </c>
      <c r="C277" s="117">
        <f t="shared" si="44"/>
        <v>0</v>
      </c>
      <c r="D277" s="117">
        <f>IF(G276=0,0,IF(G276&lt;BondCalculator!$B$13,G276+E277,BondCalculator!$B$13))</f>
        <v>0</v>
      </c>
      <c r="E277" s="117">
        <f>C277*BondCalculator!$B$7/12</f>
        <v>0</v>
      </c>
      <c r="F277" s="117">
        <f t="shared" si="36"/>
        <v>0</v>
      </c>
      <c r="G277" s="117">
        <f t="shared" si="42"/>
        <v>0</v>
      </c>
      <c r="H277" s="94">
        <f t="shared" si="43"/>
        <v>0</v>
      </c>
      <c r="J277" s="85">
        <f t="shared" si="37"/>
        <v>0</v>
      </c>
      <c r="K277" s="85">
        <f>IF(N276=0,0,IF(N276&lt;BondCalculator!$B$14+BondCalculator!$B$15,N276+L277,BondCalculator!$B$14+BondCalculator!$B$15))</f>
        <v>0</v>
      </c>
      <c r="L277" s="85">
        <f>J277*BondCalculator!$B$7/12</f>
        <v>0</v>
      </c>
      <c r="M277" s="85">
        <f t="shared" si="38"/>
        <v>0</v>
      </c>
      <c r="N277" s="85">
        <f t="shared" si="39"/>
        <v>0</v>
      </c>
      <c r="P277" s="85">
        <f t="shared" si="40"/>
        <v>0</v>
      </c>
      <c r="Q277" s="86">
        <f>-PV(BondCalculator!$B$10/12,B277,0,1,0)</f>
        <v>0.3505242723066479</v>
      </c>
      <c r="S277" s="87">
        <f t="shared" si="41"/>
        <v>0</v>
      </c>
    </row>
    <row r="278" spans="1:19" ht="15" customHeight="1">
      <c r="A278" s="82" t="s">
        <v>119</v>
      </c>
      <c r="B278" s="93">
        <v>275</v>
      </c>
      <c r="C278" s="117">
        <f t="shared" si="44"/>
        <v>0</v>
      </c>
      <c r="D278" s="117">
        <f>IF(G277=0,0,IF(G277&lt;BondCalculator!$B$13,G277+E278,BondCalculator!$B$13))</f>
        <v>0</v>
      </c>
      <c r="E278" s="117">
        <f>C278*BondCalculator!$B$7/12</f>
        <v>0</v>
      </c>
      <c r="F278" s="117">
        <f t="shared" si="36"/>
        <v>0</v>
      </c>
      <c r="G278" s="117">
        <f t="shared" si="42"/>
        <v>0</v>
      </c>
      <c r="H278" s="94">
        <f t="shared" si="43"/>
        <v>0</v>
      </c>
      <c r="J278" s="85">
        <f t="shared" si="37"/>
        <v>0</v>
      </c>
      <c r="K278" s="85">
        <f>IF(N277=0,0,IF(N277&lt;BondCalculator!$B$14+BondCalculator!$B$15,N277+L278,BondCalculator!$B$14+BondCalculator!$B$15))</f>
        <v>0</v>
      </c>
      <c r="L278" s="85">
        <f>J278*BondCalculator!$B$7/12</f>
        <v>0</v>
      </c>
      <c r="M278" s="85">
        <f t="shared" si="38"/>
        <v>0</v>
      </c>
      <c r="N278" s="85">
        <f t="shared" si="39"/>
        <v>0</v>
      </c>
      <c r="P278" s="85">
        <f t="shared" si="40"/>
        <v>0</v>
      </c>
      <c r="Q278" s="86">
        <f>-PV(BondCalculator!$B$10/12,B278,0,1,0)</f>
        <v>0.3491857270197389</v>
      </c>
      <c r="S278" s="87">
        <f t="shared" si="41"/>
        <v>0</v>
      </c>
    </row>
    <row r="279" spans="1:19" ht="15" customHeight="1">
      <c r="A279" s="82" t="s">
        <v>119</v>
      </c>
      <c r="B279" s="93">
        <v>276</v>
      </c>
      <c r="C279" s="117">
        <f t="shared" si="44"/>
        <v>0</v>
      </c>
      <c r="D279" s="117">
        <f>IF(G278=0,0,IF(G278&lt;BondCalculator!$B$13,G278+E279,BondCalculator!$B$13))</f>
        <v>0</v>
      </c>
      <c r="E279" s="117">
        <f>C279*BondCalculator!$B$7/12</f>
        <v>0</v>
      </c>
      <c r="F279" s="117">
        <f t="shared" si="36"/>
        <v>0</v>
      </c>
      <c r="G279" s="117">
        <f t="shared" si="42"/>
        <v>0</v>
      </c>
      <c r="H279" s="94">
        <f t="shared" si="43"/>
        <v>0</v>
      </c>
      <c r="J279" s="85">
        <f t="shared" si="37"/>
        <v>0</v>
      </c>
      <c r="K279" s="85">
        <f>IF(N278=0,0,IF(N278&lt;BondCalculator!$B$14+BondCalculator!$B$15,N278+L279,BondCalculator!$B$14+BondCalculator!$B$15))</f>
        <v>0</v>
      </c>
      <c r="L279" s="85">
        <f>J279*BondCalculator!$B$7/12</f>
        <v>0</v>
      </c>
      <c r="M279" s="85">
        <f t="shared" si="38"/>
        <v>0</v>
      </c>
      <c r="N279" s="85">
        <f t="shared" si="39"/>
        <v>0</v>
      </c>
      <c r="P279" s="85">
        <f t="shared" si="40"/>
        <v>0</v>
      </c>
      <c r="Q279" s="86">
        <f>-PV(BondCalculator!$B$10/12,B279,0,1,0)</f>
        <v>0.3478522932290277</v>
      </c>
      <c r="S279" s="87">
        <f t="shared" si="41"/>
        <v>0</v>
      </c>
    </row>
    <row r="280" spans="1:19" ht="15" customHeight="1">
      <c r="A280" s="82" t="s">
        <v>120</v>
      </c>
      <c r="B280" s="93">
        <v>277</v>
      </c>
      <c r="C280" s="117">
        <f t="shared" si="44"/>
        <v>0</v>
      </c>
      <c r="D280" s="117">
        <f>IF(G279=0,0,IF(G279&lt;BondCalculator!$B$13,G279+E280,BondCalculator!$B$13))</f>
        <v>0</v>
      </c>
      <c r="E280" s="117">
        <f>C280*BondCalculator!$B$7/12</f>
        <v>0</v>
      </c>
      <c r="F280" s="117">
        <f t="shared" si="36"/>
        <v>0</v>
      </c>
      <c r="G280" s="117">
        <f t="shared" si="42"/>
        <v>0</v>
      </c>
      <c r="H280" s="94">
        <f t="shared" si="43"/>
        <v>0</v>
      </c>
      <c r="J280" s="85">
        <f t="shared" si="37"/>
        <v>0</v>
      </c>
      <c r="K280" s="85">
        <f>IF(N279=0,0,IF(N279&lt;BondCalculator!$B$14+BondCalculator!$B$15,N279+L280,BondCalculator!$B$14+BondCalculator!$B$15))</f>
        <v>0</v>
      </c>
      <c r="L280" s="85">
        <f>J280*BondCalculator!$B$7/12</f>
        <v>0</v>
      </c>
      <c r="M280" s="85">
        <f t="shared" si="38"/>
        <v>0</v>
      </c>
      <c r="N280" s="85">
        <f t="shared" si="39"/>
        <v>0</v>
      </c>
      <c r="P280" s="85">
        <f t="shared" si="40"/>
        <v>0</v>
      </c>
      <c r="Q280" s="86">
        <f>-PV(BondCalculator!$B$10/12,B280,0,1,0)</f>
        <v>0.34652395141526915</v>
      </c>
      <c r="S280" s="87">
        <f t="shared" si="41"/>
        <v>0</v>
      </c>
    </row>
    <row r="281" spans="1:19" ht="15" customHeight="1">
      <c r="A281" s="82" t="s">
        <v>120</v>
      </c>
      <c r="B281" s="93">
        <v>278</v>
      </c>
      <c r="C281" s="117">
        <f t="shared" si="44"/>
        <v>0</v>
      </c>
      <c r="D281" s="117">
        <f>IF(G280=0,0,IF(G280&lt;BondCalculator!$B$13,G280+E281,BondCalculator!$B$13))</f>
        <v>0</v>
      </c>
      <c r="E281" s="117">
        <f>C281*BondCalculator!$B$7/12</f>
        <v>0</v>
      </c>
      <c r="F281" s="117">
        <f t="shared" si="36"/>
        <v>0</v>
      </c>
      <c r="G281" s="117">
        <f t="shared" si="42"/>
        <v>0</v>
      </c>
      <c r="H281" s="94">
        <f t="shared" si="43"/>
        <v>0</v>
      </c>
      <c r="J281" s="85">
        <f t="shared" si="37"/>
        <v>0</v>
      </c>
      <c r="K281" s="85">
        <f>IF(N280=0,0,IF(N280&lt;BondCalculator!$B$14+BondCalculator!$B$15,N280+L281,BondCalculator!$B$14+BondCalculator!$B$15))</f>
        <v>0</v>
      </c>
      <c r="L281" s="85">
        <f>J281*BondCalculator!$B$7/12</f>
        <v>0</v>
      </c>
      <c r="M281" s="85">
        <f t="shared" si="38"/>
        <v>0</v>
      </c>
      <c r="N281" s="85">
        <f t="shared" si="39"/>
        <v>0</v>
      </c>
      <c r="P281" s="85">
        <f t="shared" si="40"/>
        <v>0</v>
      </c>
      <c r="Q281" s="86">
        <f>-PV(BondCalculator!$B$10/12,B281,0,1,0)</f>
        <v>0.34520068213375643</v>
      </c>
      <c r="S281" s="87">
        <f t="shared" si="41"/>
        <v>0</v>
      </c>
    </row>
    <row r="282" spans="1:19" ht="15" customHeight="1">
      <c r="A282" s="82" t="s">
        <v>120</v>
      </c>
      <c r="B282" s="93">
        <v>279</v>
      </c>
      <c r="C282" s="117">
        <f t="shared" si="44"/>
        <v>0</v>
      </c>
      <c r="D282" s="117">
        <f>IF(G281=0,0,IF(G281&lt;BondCalculator!$B$13,G281+E282,BondCalculator!$B$13))</f>
        <v>0</v>
      </c>
      <c r="E282" s="117">
        <f>C282*BondCalculator!$B$7/12</f>
        <v>0</v>
      </c>
      <c r="F282" s="117">
        <f t="shared" si="36"/>
        <v>0</v>
      </c>
      <c r="G282" s="117">
        <f t="shared" si="42"/>
        <v>0</v>
      </c>
      <c r="H282" s="94">
        <f t="shared" si="43"/>
        <v>0</v>
      </c>
      <c r="J282" s="85">
        <f t="shared" si="37"/>
        <v>0</v>
      </c>
      <c r="K282" s="85">
        <f>IF(N281=0,0,IF(N281&lt;BondCalculator!$B$14+BondCalculator!$B$15,N281+L282,BondCalculator!$B$14+BondCalculator!$B$15))</f>
        <v>0</v>
      </c>
      <c r="L282" s="85">
        <f>J282*BondCalculator!$B$7/12</f>
        <v>0</v>
      </c>
      <c r="M282" s="85">
        <f t="shared" si="38"/>
        <v>0</v>
      </c>
      <c r="N282" s="85">
        <f t="shared" si="39"/>
        <v>0</v>
      </c>
      <c r="P282" s="85">
        <f t="shared" si="40"/>
        <v>0</v>
      </c>
      <c r="Q282" s="86">
        <f>-PV(BondCalculator!$B$10/12,B282,0,1,0)</f>
        <v>0.34388246601403594</v>
      </c>
      <c r="S282" s="87">
        <f t="shared" si="41"/>
        <v>0</v>
      </c>
    </row>
    <row r="283" spans="1:19" ht="15" customHeight="1">
      <c r="A283" s="82" t="s">
        <v>120</v>
      </c>
      <c r="B283" s="93">
        <v>280</v>
      </c>
      <c r="C283" s="117">
        <f t="shared" si="44"/>
        <v>0</v>
      </c>
      <c r="D283" s="117">
        <f>IF(G282=0,0,IF(G282&lt;BondCalculator!$B$13,G282+E283,BondCalculator!$B$13))</f>
        <v>0</v>
      </c>
      <c r="E283" s="117">
        <f>C283*BondCalculator!$B$7/12</f>
        <v>0</v>
      </c>
      <c r="F283" s="117">
        <f t="shared" si="36"/>
        <v>0</v>
      </c>
      <c r="G283" s="117">
        <f t="shared" si="42"/>
        <v>0</v>
      </c>
      <c r="H283" s="94">
        <f t="shared" si="43"/>
        <v>0</v>
      </c>
      <c r="J283" s="85">
        <f t="shared" si="37"/>
        <v>0</v>
      </c>
      <c r="K283" s="85">
        <f>IF(N282=0,0,IF(N282&lt;BondCalculator!$B$14+BondCalculator!$B$15,N282+L283,BondCalculator!$B$14+BondCalculator!$B$15))</f>
        <v>0</v>
      </c>
      <c r="L283" s="85">
        <f>J283*BondCalculator!$B$7/12</f>
        <v>0</v>
      </c>
      <c r="M283" s="85">
        <f t="shared" si="38"/>
        <v>0</v>
      </c>
      <c r="N283" s="85">
        <f t="shared" si="39"/>
        <v>0</v>
      </c>
      <c r="P283" s="85">
        <f t="shared" si="40"/>
        <v>0</v>
      </c>
      <c r="Q283" s="86">
        <f>-PV(BondCalculator!$B$10/12,B283,0,1,0)</f>
        <v>0.34256928375962403</v>
      </c>
      <c r="S283" s="87">
        <f t="shared" si="41"/>
        <v>0</v>
      </c>
    </row>
    <row r="284" spans="1:19" ht="15" customHeight="1">
      <c r="A284" s="82" t="s">
        <v>120</v>
      </c>
      <c r="B284" s="93">
        <v>281</v>
      </c>
      <c r="C284" s="117">
        <f t="shared" si="44"/>
        <v>0</v>
      </c>
      <c r="D284" s="117">
        <f>IF(G283=0,0,IF(G283&lt;BondCalculator!$B$13,G283+E284,BondCalculator!$B$13))</f>
        <v>0</v>
      </c>
      <c r="E284" s="117">
        <f>C284*BondCalculator!$B$7/12</f>
        <v>0</v>
      </c>
      <c r="F284" s="117">
        <f t="shared" si="36"/>
        <v>0</v>
      </c>
      <c r="G284" s="117">
        <f t="shared" si="42"/>
        <v>0</v>
      </c>
      <c r="H284" s="94">
        <f t="shared" si="43"/>
        <v>0</v>
      </c>
      <c r="J284" s="85">
        <f t="shared" si="37"/>
        <v>0</v>
      </c>
      <c r="K284" s="85">
        <f>IF(N283=0,0,IF(N283&lt;BondCalculator!$B$14+BondCalculator!$B$15,N283+L284,BondCalculator!$B$14+BondCalculator!$B$15))</f>
        <v>0</v>
      </c>
      <c r="L284" s="85">
        <f>J284*BondCalculator!$B$7/12</f>
        <v>0</v>
      </c>
      <c r="M284" s="85">
        <f t="shared" si="38"/>
        <v>0</v>
      </c>
      <c r="N284" s="85">
        <f t="shared" si="39"/>
        <v>0</v>
      </c>
      <c r="P284" s="85">
        <f t="shared" si="40"/>
        <v>0</v>
      </c>
      <c r="Q284" s="86">
        <f>-PV(BondCalculator!$B$10/12,B284,0,1,0)</f>
        <v>0.34126111614772436</v>
      </c>
      <c r="S284" s="87">
        <f t="shared" si="41"/>
        <v>0</v>
      </c>
    </row>
    <row r="285" spans="1:19" ht="15" customHeight="1">
      <c r="A285" s="82" t="s">
        <v>120</v>
      </c>
      <c r="B285" s="93">
        <v>282</v>
      </c>
      <c r="C285" s="117">
        <f t="shared" si="44"/>
        <v>0</v>
      </c>
      <c r="D285" s="117">
        <f>IF(G284=0,0,IF(G284&lt;BondCalculator!$B$13,G284+E285,BondCalculator!$B$13))</f>
        <v>0</v>
      </c>
      <c r="E285" s="117">
        <f>C285*BondCalculator!$B$7/12</f>
        <v>0</v>
      </c>
      <c r="F285" s="117">
        <f t="shared" si="36"/>
        <v>0</v>
      </c>
      <c r="G285" s="117">
        <f t="shared" si="42"/>
        <v>0</v>
      </c>
      <c r="H285" s="94">
        <f t="shared" si="43"/>
        <v>0</v>
      </c>
      <c r="J285" s="85">
        <f t="shared" si="37"/>
        <v>0</v>
      </c>
      <c r="K285" s="85">
        <f>IF(N284=0,0,IF(N284&lt;BondCalculator!$B$14+BondCalculator!$B$15,N284+L285,BondCalculator!$B$14+BondCalculator!$B$15))</f>
        <v>0</v>
      </c>
      <c r="L285" s="85">
        <f>J285*BondCalculator!$B$7/12</f>
        <v>0</v>
      </c>
      <c r="M285" s="85">
        <f t="shared" si="38"/>
        <v>0</v>
      </c>
      <c r="N285" s="85">
        <f t="shared" si="39"/>
        <v>0</v>
      </c>
      <c r="P285" s="85">
        <f t="shared" si="40"/>
        <v>0</v>
      </c>
      <c r="Q285" s="86">
        <f>-PV(BondCalculator!$B$10/12,B285,0,1,0)</f>
        <v>0.33995794402894675</v>
      </c>
      <c r="S285" s="87">
        <f t="shared" si="41"/>
        <v>0</v>
      </c>
    </row>
    <row r="286" spans="1:19" ht="15" customHeight="1">
      <c r="A286" s="82" t="s">
        <v>120</v>
      </c>
      <c r="B286" s="93">
        <v>283</v>
      </c>
      <c r="C286" s="117">
        <f t="shared" si="44"/>
        <v>0</v>
      </c>
      <c r="D286" s="117">
        <f>IF(G285=0,0,IF(G285&lt;BondCalculator!$B$13,G285+E286,BondCalculator!$B$13))</f>
        <v>0</v>
      </c>
      <c r="E286" s="117">
        <f>C286*BondCalculator!$B$7/12</f>
        <v>0</v>
      </c>
      <c r="F286" s="117">
        <f t="shared" si="36"/>
        <v>0</v>
      </c>
      <c r="G286" s="117">
        <f t="shared" si="42"/>
        <v>0</v>
      </c>
      <c r="H286" s="94">
        <f t="shared" si="43"/>
        <v>0</v>
      </c>
      <c r="J286" s="85">
        <f t="shared" si="37"/>
        <v>0</v>
      </c>
      <c r="K286" s="85">
        <f>IF(N285=0,0,IF(N285&lt;BondCalculator!$B$14+BondCalculator!$B$15,N285+L286,BondCalculator!$B$14+BondCalculator!$B$15))</f>
        <v>0</v>
      </c>
      <c r="L286" s="85">
        <f>J286*BondCalculator!$B$7/12</f>
        <v>0</v>
      </c>
      <c r="M286" s="85">
        <f t="shared" si="38"/>
        <v>0</v>
      </c>
      <c r="N286" s="85">
        <f t="shared" si="39"/>
        <v>0</v>
      </c>
      <c r="P286" s="85">
        <f t="shared" si="40"/>
        <v>0</v>
      </c>
      <c r="Q286" s="86">
        <f>-PV(BondCalculator!$B$10/12,B286,0,1,0)</f>
        <v>0.33865974832702656</v>
      </c>
      <c r="S286" s="87">
        <f t="shared" si="41"/>
        <v>0</v>
      </c>
    </row>
    <row r="287" spans="1:19" ht="15" customHeight="1">
      <c r="A287" s="82" t="s">
        <v>120</v>
      </c>
      <c r="B287" s="93">
        <v>284</v>
      </c>
      <c r="C287" s="117">
        <f t="shared" si="44"/>
        <v>0</v>
      </c>
      <c r="D287" s="117">
        <f>IF(G286=0,0,IF(G286&lt;BondCalculator!$B$13,G286+E287,BondCalculator!$B$13))</f>
        <v>0</v>
      </c>
      <c r="E287" s="117">
        <f>C287*BondCalculator!$B$7/12</f>
        <v>0</v>
      </c>
      <c r="F287" s="117">
        <f t="shared" si="36"/>
        <v>0</v>
      </c>
      <c r="G287" s="117">
        <f t="shared" si="42"/>
        <v>0</v>
      </c>
      <c r="H287" s="94">
        <f t="shared" si="43"/>
        <v>0</v>
      </c>
      <c r="J287" s="85">
        <f t="shared" si="37"/>
        <v>0</v>
      </c>
      <c r="K287" s="85">
        <f>IF(N286=0,0,IF(N286&lt;BondCalculator!$B$14+BondCalculator!$B$15,N286+L287,BondCalculator!$B$14+BondCalculator!$B$15))</f>
        <v>0</v>
      </c>
      <c r="L287" s="85">
        <f>J287*BondCalculator!$B$7/12</f>
        <v>0</v>
      </c>
      <c r="M287" s="85">
        <f t="shared" si="38"/>
        <v>0</v>
      </c>
      <c r="N287" s="85">
        <f t="shared" si="39"/>
        <v>0</v>
      </c>
      <c r="P287" s="85">
        <f t="shared" si="40"/>
        <v>0</v>
      </c>
      <c r="Q287" s="86">
        <f>-PV(BondCalculator!$B$10/12,B287,0,1,0)</f>
        <v>0.3373665100385455</v>
      </c>
      <c r="S287" s="87">
        <f t="shared" si="41"/>
        <v>0</v>
      </c>
    </row>
    <row r="288" spans="1:19" ht="15" customHeight="1">
      <c r="A288" s="82" t="s">
        <v>120</v>
      </c>
      <c r="B288" s="93">
        <v>285</v>
      </c>
      <c r="C288" s="117">
        <f t="shared" si="44"/>
        <v>0</v>
      </c>
      <c r="D288" s="117">
        <f>IF(G287=0,0,IF(G287&lt;BondCalculator!$B$13,G287+E288,BondCalculator!$B$13))</f>
        <v>0</v>
      </c>
      <c r="E288" s="117">
        <f>C288*BondCalculator!$B$7/12</f>
        <v>0</v>
      </c>
      <c r="F288" s="117">
        <f t="shared" si="36"/>
        <v>0</v>
      </c>
      <c r="G288" s="117">
        <f t="shared" si="42"/>
        <v>0</v>
      </c>
      <c r="H288" s="94">
        <f t="shared" si="43"/>
        <v>0</v>
      </c>
      <c r="J288" s="85">
        <f t="shared" si="37"/>
        <v>0</v>
      </c>
      <c r="K288" s="85">
        <f>IF(N287=0,0,IF(N287&lt;BondCalculator!$B$14+BondCalculator!$B$15,N287+L288,BondCalculator!$B$14+BondCalculator!$B$15))</f>
        <v>0</v>
      </c>
      <c r="L288" s="85">
        <f>J288*BondCalculator!$B$7/12</f>
        <v>0</v>
      </c>
      <c r="M288" s="85">
        <f t="shared" si="38"/>
        <v>0</v>
      </c>
      <c r="N288" s="85">
        <f t="shared" si="39"/>
        <v>0</v>
      </c>
      <c r="P288" s="85">
        <f t="shared" si="40"/>
        <v>0</v>
      </c>
      <c r="Q288" s="86">
        <f>-PV(BondCalculator!$B$10/12,B288,0,1,0)</f>
        <v>0.3360782102326536</v>
      </c>
      <c r="S288" s="87">
        <f t="shared" si="41"/>
        <v>0</v>
      </c>
    </row>
    <row r="289" spans="1:19" ht="15" customHeight="1">
      <c r="A289" s="82" t="s">
        <v>120</v>
      </c>
      <c r="B289" s="93">
        <v>286</v>
      </c>
      <c r="C289" s="117">
        <f t="shared" si="44"/>
        <v>0</v>
      </c>
      <c r="D289" s="117">
        <f>IF(G288=0,0,IF(G288&lt;BondCalculator!$B$13,G288+E289,BondCalculator!$B$13))</f>
        <v>0</v>
      </c>
      <c r="E289" s="117">
        <f>C289*BondCalculator!$B$7/12</f>
        <v>0</v>
      </c>
      <c r="F289" s="117">
        <f t="shared" si="36"/>
        <v>0</v>
      </c>
      <c r="G289" s="117">
        <f t="shared" si="42"/>
        <v>0</v>
      </c>
      <c r="H289" s="94">
        <f t="shared" si="43"/>
        <v>0</v>
      </c>
      <c r="J289" s="85">
        <f t="shared" si="37"/>
        <v>0</v>
      </c>
      <c r="K289" s="85">
        <f>IF(N288=0,0,IF(N288&lt;BondCalculator!$B$14+BondCalculator!$B$15,N288+L289,BondCalculator!$B$14+BondCalculator!$B$15))</f>
        <v>0</v>
      </c>
      <c r="L289" s="85">
        <f>J289*BondCalculator!$B$7/12</f>
        <v>0</v>
      </c>
      <c r="M289" s="85">
        <f t="shared" si="38"/>
        <v>0</v>
      </c>
      <c r="N289" s="85">
        <f t="shared" si="39"/>
        <v>0</v>
      </c>
      <c r="P289" s="85">
        <f t="shared" si="40"/>
        <v>0</v>
      </c>
      <c r="Q289" s="86">
        <f>-PV(BondCalculator!$B$10/12,B289,0,1,0)</f>
        <v>0.33479483005079225</v>
      </c>
      <c r="S289" s="87">
        <f t="shared" si="41"/>
        <v>0</v>
      </c>
    </row>
    <row r="290" spans="1:19" ht="15" customHeight="1">
      <c r="A290" s="82" t="s">
        <v>120</v>
      </c>
      <c r="B290" s="93">
        <v>287</v>
      </c>
      <c r="C290" s="117">
        <f t="shared" si="44"/>
        <v>0</v>
      </c>
      <c r="D290" s="117">
        <f>IF(G289=0,0,IF(G289&lt;BondCalculator!$B$13,G289+E290,BondCalculator!$B$13))</f>
        <v>0</v>
      </c>
      <c r="E290" s="117">
        <f>C290*BondCalculator!$B$7/12</f>
        <v>0</v>
      </c>
      <c r="F290" s="117">
        <f t="shared" si="36"/>
        <v>0</v>
      </c>
      <c r="G290" s="117">
        <f t="shared" si="42"/>
        <v>0</v>
      </c>
      <c r="H290" s="94">
        <f t="shared" si="43"/>
        <v>0</v>
      </c>
      <c r="J290" s="85">
        <f t="shared" si="37"/>
        <v>0</v>
      </c>
      <c r="K290" s="85">
        <f>IF(N289=0,0,IF(N289&lt;BondCalculator!$B$14+BondCalculator!$B$15,N289+L290,BondCalculator!$B$14+BondCalculator!$B$15))</f>
        <v>0</v>
      </c>
      <c r="L290" s="85">
        <f>J290*BondCalculator!$B$7/12</f>
        <v>0</v>
      </c>
      <c r="M290" s="85">
        <f t="shared" si="38"/>
        <v>0</v>
      </c>
      <c r="N290" s="85">
        <f t="shared" si="39"/>
        <v>0</v>
      </c>
      <c r="P290" s="85">
        <f t="shared" si="40"/>
        <v>0</v>
      </c>
      <c r="Q290" s="86">
        <f>-PV(BondCalculator!$B$10/12,B290,0,1,0)</f>
        <v>0.3335163507064176</v>
      </c>
      <c r="S290" s="87">
        <f t="shared" si="41"/>
        <v>0</v>
      </c>
    </row>
    <row r="291" spans="1:19" ht="15" customHeight="1">
      <c r="A291" s="82" t="s">
        <v>120</v>
      </c>
      <c r="B291" s="93">
        <v>288</v>
      </c>
      <c r="C291" s="117">
        <f t="shared" si="44"/>
        <v>0</v>
      </c>
      <c r="D291" s="117">
        <f>IF(G290=0,0,IF(G290&lt;BondCalculator!$B$13,G290+E291,BondCalculator!$B$13))</f>
        <v>0</v>
      </c>
      <c r="E291" s="117">
        <f>C291*BondCalculator!$B$7/12</f>
        <v>0</v>
      </c>
      <c r="F291" s="117">
        <f t="shared" si="36"/>
        <v>0</v>
      </c>
      <c r="G291" s="117">
        <f t="shared" si="42"/>
        <v>0</v>
      </c>
      <c r="H291" s="94">
        <f t="shared" si="43"/>
        <v>0</v>
      </c>
      <c r="J291" s="85">
        <f t="shared" si="37"/>
        <v>0</v>
      </c>
      <c r="K291" s="85">
        <f>IF(N290=0,0,IF(N290&lt;BondCalculator!$B$14+BondCalculator!$B$15,N290+L291,BondCalculator!$B$14+BondCalculator!$B$15))</f>
        <v>0</v>
      </c>
      <c r="L291" s="85">
        <f>J291*BondCalculator!$B$7/12</f>
        <v>0</v>
      </c>
      <c r="M291" s="85">
        <f t="shared" si="38"/>
        <v>0</v>
      </c>
      <c r="N291" s="85">
        <f t="shared" si="39"/>
        <v>0</v>
      </c>
      <c r="P291" s="85">
        <f t="shared" si="40"/>
        <v>0</v>
      </c>
      <c r="Q291" s="86">
        <f>-PV(BondCalculator!$B$10/12,B291,0,1,0)</f>
        <v>0.3322427534847263</v>
      </c>
      <c r="S291" s="87">
        <f t="shared" si="41"/>
        <v>0</v>
      </c>
    </row>
    <row r="292" spans="1:19" ht="15" customHeight="1">
      <c r="A292" s="82" t="s">
        <v>121</v>
      </c>
      <c r="B292" s="93">
        <v>289</v>
      </c>
      <c r="C292" s="117">
        <f t="shared" si="44"/>
        <v>0</v>
      </c>
      <c r="D292" s="117">
        <f>IF(G291=0,0,IF(G291&lt;BondCalculator!$B$13,G291+E292,BondCalculator!$B$13))</f>
        <v>0</v>
      </c>
      <c r="E292" s="117">
        <f>C292*BondCalculator!$B$7/12</f>
        <v>0</v>
      </c>
      <c r="F292" s="117">
        <f t="shared" si="36"/>
        <v>0</v>
      </c>
      <c r="G292" s="117">
        <f t="shared" si="42"/>
        <v>0</v>
      </c>
      <c r="H292" s="94">
        <f t="shared" si="43"/>
        <v>0</v>
      </c>
      <c r="J292" s="85">
        <f t="shared" si="37"/>
        <v>0</v>
      </c>
      <c r="K292" s="85">
        <f>IF(N291=0,0,IF(N291&lt;BondCalculator!$B$14+BondCalculator!$B$15,N291+L292,BondCalculator!$B$14+BondCalculator!$B$15))</f>
        <v>0</v>
      </c>
      <c r="L292" s="85">
        <f>J292*BondCalculator!$B$7/12</f>
        <v>0</v>
      </c>
      <c r="M292" s="85">
        <f t="shared" si="38"/>
        <v>0</v>
      </c>
      <c r="N292" s="85">
        <f t="shared" si="39"/>
        <v>0</v>
      </c>
      <c r="P292" s="85">
        <f t="shared" si="40"/>
        <v>0</v>
      </c>
      <c r="Q292" s="86">
        <f>-PV(BondCalculator!$B$10/12,B292,0,1,0)</f>
        <v>0.3309740197423805</v>
      </c>
      <c r="S292" s="87">
        <f t="shared" si="41"/>
        <v>0</v>
      </c>
    </row>
    <row r="293" spans="1:19" ht="15" customHeight="1">
      <c r="A293" s="82" t="s">
        <v>121</v>
      </c>
      <c r="B293" s="93">
        <v>290</v>
      </c>
      <c r="C293" s="117">
        <f t="shared" si="44"/>
        <v>0</v>
      </c>
      <c r="D293" s="117">
        <f>IF(G292=0,0,IF(G292&lt;BondCalculator!$B$13,G292+E293,BondCalculator!$B$13))</f>
        <v>0</v>
      </c>
      <c r="E293" s="117">
        <f>C293*BondCalculator!$B$7/12</f>
        <v>0</v>
      </c>
      <c r="F293" s="117">
        <f t="shared" si="36"/>
        <v>0</v>
      </c>
      <c r="G293" s="117">
        <f t="shared" si="42"/>
        <v>0</v>
      </c>
      <c r="H293" s="94">
        <f t="shared" si="43"/>
        <v>0</v>
      </c>
      <c r="J293" s="85">
        <f t="shared" si="37"/>
        <v>0</v>
      </c>
      <c r="K293" s="85">
        <f>IF(N292=0,0,IF(N292&lt;BondCalculator!$B$14+BondCalculator!$B$15,N292+L293,BondCalculator!$B$14+BondCalculator!$B$15))</f>
        <v>0</v>
      </c>
      <c r="L293" s="85">
        <f>J293*BondCalculator!$B$7/12</f>
        <v>0</v>
      </c>
      <c r="M293" s="85">
        <f t="shared" si="38"/>
        <v>0</v>
      </c>
      <c r="N293" s="85">
        <f t="shared" si="39"/>
        <v>0</v>
      </c>
      <c r="P293" s="85">
        <f t="shared" si="40"/>
        <v>0</v>
      </c>
      <c r="Q293" s="86">
        <f>-PV(BondCalculator!$B$10/12,B293,0,1,0)</f>
        <v>0.3297101309072361</v>
      </c>
      <c r="S293" s="87">
        <f t="shared" si="41"/>
        <v>0</v>
      </c>
    </row>
    <row r="294" spans="1:19" ht="15" customHeight="1">
      <c r="A294" s="82" t="s">
        <v>121</v>
      </c>
      <c r="B294" s="93">
        <v>291</v>
      </c>
      <c r="C294" s="117">
        <f t="shared" si="44"/>
        <v>0</v>
      </c>
      <c r="D294" s="117">
        <f>IF(G293=0,0,IF(G293&lt;BondCalculator!$B$13,G293+E294,BondCalculator!$B$13))</f>
        <v>0</v>
      </c>
      <c r="E294" s="117">
        <f>C294*BondCalculator!$B$7/12</f>
        <v>0</v>
      </c>
      <c r="F294" s="117">
        <f t="shared" si="36"/>
        <v>0</v>
      </c>
      <c r="G294" s="117">
        <f t="shared" si="42"/>
        <v>0</v>
      </c>
      <c r="H294" s="94">
        <f t="shared" si="43"/>
        <v>0</v>
      </c>
      <c r="J294" s="85">
        <f t="shared" si="37"/>
        <v>0</v>
      </c>
      <c r="K294" s="85">
        <f>IF(N293=0,0,IF(N293&lt;BondCalculator!$B$14+BondCalculator!$B$15,N293+L294,BondCalculator!$B$14+BondCalculator!$B$15))</f>
        <v>0</v>
      </c>
      <c r="L294" s="85">
        <f>J294*BondCalculator!$B$7/12</f>
        <v>0</v>
      </c>
      <c r="M294" s="85">
        <f t="shared" si="38"/>
        <v>0</v>
      </c>
      <c r="N294" s="85">
        <f t="shared" si="39"/>
        <v>0</v>
      </c>
      <c r="P294" s="85">
        <f t="shared" si="40"/>
        <v>0</v>
      </c>
      <c r="Q294" s="86">
        <f>-PV(BondCalculator!$B$10/12,B294,0,1,0)</f>
        <v>0.32845106847807015</v>
      </c>
      <c r="S294" s="87">
        <f t="shared" si="41"/>
        <v>0</v>
      </c>
    </row>
    <row r="295" spans="1:19" ht="15" customHeight="1">
      <c r="A295" s="82" t="s">
        <v>121</v>
      </c>
      <c r="B295" s="93">
        <v>292</v>
      </c>
      <c r="C295" s="117">
        <f t="shared" si="44"/>
        <v>0</v>
      </c>
      <c r="D295" s="117">
        <f>IF(G294=0,0,IF(G294&lt;BondCalculator!$B$13,G294+E295,BondCalculator!$B$13))</f>
        <v>0</v>
      </c>
      <c r="E295" s="117">
        <f>C295*BondCalculator!$B$7/12</f>
        <v>0</v>
      </c>
      <c r="F295" s="117">
        <f t="shared" si="36"/>
        <v>0</v>
      </c>
      <c r="G295" s="117">
        <f t="shared" si="42"/>
        <v>0</v>
      </c>
      <c r="H295" s="94">
        <f t="shared" si="43"/>
        <v>0</v>
      </c>
      <c r="J295" s="85">
        <f t="shared" si="37"/>
        <v>0</v>
      </c>
      <c r="K295" s="85">
        <f>IF(N294=0,0,IF(N294&lt;BondCalculator!$B$14+BondCalculator!$B$15,N294+L295,BondCalculator!$B$14+BondCalculator!$B$15))</f>
        <v>0</v>
      </c>
      <c r="L295" s="85">
        <f>J295*BondCalculator!$B$7/12</f>
        <v>0</v>
      </c>
      <c r="M295" s="85">
        <f t="shared" si="38"/>
        <v>0</v>
      </c>
      <c r="N295" s="85">
        <f t="shared" si="39"/>
        <v>0</v>
      </c>
      <c r="P295" s="85">
        <f t="shared" si="40"/>
        <v>0</v>
      </c>
      <c r="Q295" s="86">
        <f>-PV(BondCalculator!$B$10/12,B295,0,1,0)</f>
        <v>0.32719681402431033</v>
      </c>
      <c r="S295" s="87">
        <f t="shared" si="41"/>
        <v>0</v>
      </c>
    </row>
    <row r="296" spans="1:19" ht="15" customHeight="1">
      <c r="A296" s="82" t="s">
        <v>121</v>
      </c>
      <c r="B296" s="93">
        <v>293</v>
      </c>
      <c r="C296" s="117">
        <f t="shared" si="44"/>
        <v>0</v>
      </c>
      <c r="D296" s="117">
        <f>IF(G295=0,0,IF(G295&lt;BondCalculator!$B$13,G295+E296,BondCalculator!$B$13))</f>
        <v>0</v>
      </c>
      <c r="E296" s="117">
        <f>C296*BondCalculator!$B$7/12</f>
        <v>0</v>
      </c>
      <c r="F296" s="117">
        <f t="shared" si="36"/>
        <v>0</v>
      </c>
      <c r="G296" s="117">
        <f t="shared" si="42"/>
        <v>0</v>
      </c>
      <c r="H296" s="94">
        <f t="shared" si="43"/>
        <v>0</v>
      </c>
      <c r="J296" s="85">
        <f t="shared" si="37"/>
        <v>0</v>
      </c>
      <c r="K296" s="85">
        <f>IF(N295=0,0,IF(N295&lt;BondCalculator!$B$14+BondCalculator!$B$15,N295+L296,BondCalculator!$B$14+BondCalculator!$B$15))</f>
        <v>0</v>
      </c>
      <c r="L296" s="85">
        <f>J296*BondCalculator!$B$7/12</f>
        <v>0</v>
      </c>
      <c r="M296" s="85">
        <f t="shared" si="38"/>
        <v>0</v>
      </c>
      <c r="N296" s="85">
        <f t="shared" si="39"/>
        <v>0</v>
      </c>
      <c r="P296" s="85">
        <f t="shared" si="40"/>
        <v>0</v>
      </c>
      <c r="Q296" s="86">
        <f>-PV(BondCalculator!$B$10/12,B296,0,1,0)</f>
        <v>0.3259473491857649</v>
      </c>
      <c r="S296" s="87">
        <f t="shared" si="41"/>
        <v>0</v>
      </c>
    </row>
    <row r="297" spans="1:19" ht="15" customHeight="1">
      <c r="A297" s="82" t="s">
        <v>121</v>
      </c>
      <c r="B297" s="93">
        <v>294</v>
      </c>
      <c r="C297" s="117">
        <f t="shared" si="44"/>
        <v>0</v>
      </c>
      <c r="D297" s="117">
        <f>IF(G296=0,0,IF(G296&lt;BondCalculator!$B$13,G296+E297,BondCalculator!$B$13))</f>
        <v>0</v>
      </c>
      <c r="E297" s="117">
        <f>C297*BondCalculator!$B$7/12</f>
        <v>0</v>
      </c>
      <c r="F297" s="117">
        <f t="shared" si="36"/>
        <v>0</v>
      </c>
      <c r="G297" s="117">
        <f t="shared" si="42"/>
        <v>0</v>
      </c>
      <c r="H297" s="94">
        <f t="shared" si="43"/>
        <v>0</v>
      </c>
      <c r="J297" s="85">
        <f t="shared" si="37"/>
        <v>0</v>
      </c>
      <c r="K297" s="85">
        <f>IF(N296=0,0,IF(N296&lt;BondCalculator!$B$14+BondCalculator!$B$15,N296+L297,BondCalculator!$B$14+BondCalculator!$B$15))</f>
        <v>0</v>
      </c>
      <c r="L297" s="85">
        <f>J297*BondCalculator!$B$7/12</f>
        <v>0</v>
      </c>
      <c r="M297" s="85">
        <f t="shared" si="38"/>
        <v>0</v>
      </c>
      <c r="N297" s="85">
        <f t="shared" si="39"/>
        <v>0</v>
      </c>
      <c r="P297" s="85">
        <f t="shared" si="40"/>
        <v>0</v>
      </c>
      <c r="Q297" s="86">
        <f>-PV(BondCalculator!$B$10/12,B297,0,1,0)</f>
        <v>0.3247026556723542</v>
      </c>
      <c r="S297" s="87">
        <f t="shared" si="41"/>
        <v>0</v>
      </c>
    </row>
    <row r="298" spans="1:19" ht="15" customHeight="1">
      <c r="A298" s="82" t="s">
        <v>121</v>
      </c>
      <c r="B298" s="93">
        <v>295</v>
      </c>
      <c r="C298" s="117">
        <f t="shared" si="44"/>
        <v>0</v>
      </c>
      <c r="D298" s="117">
        <f>IF(G297=0,0,IF(G297&lt;BondCalculator!$B$13,G297+E298,BondCalculator!$B$13))</f>
        <v>0</v>
      </c>
      <c r="E298" s="117">
        <f>C298*BondCalculator!$B$7/12</f>
        <v>0</v>
      </c>
      <c r="F298" s="117">
        <f t="shared" si="36"/>
        <v>0</v>
      </c>
      <c r="G298" s="117">
        <f t="shared" si="42"/>
        <v>0</v>
      </c>
      <c r="H298" s="94">
        <f t="shared" si="43"/>
        <v>0</v>
      </c>
      <c r="J298" s="85">
        <f t="shared" si="37"/>
        <v>0</v>
      </c>
      <c r="K298" s="85">
        <f>IF(N297=0,0,IF(N297&lt;BondCalculator!$B$14+BondCalculator!$B$15,N297+L298,BondCalculator!$B$14+BondCalculator!$B$15))</f>
        <v>0</v>
      </c>
      <c r="L298" s="85">
        <f>J298*BondCalculator!$B$7/12</f>
        <v>0</v>
      </c>
      <c r="M298" s="85">
        <f t="shared" si="38"/>
        <v>0</v>
      </c>
      <c r="N298" s="85">
        <f t="shared" si="39"/>
        <v>0</v>
      </c>
      <c r="P298" s="85">
        <f t="shared" si="40"/>
        <v>0</v>
      </c>
      <c r="Q298" s="86">
        <f>-PV(BondCalculator!$B$10/12,B298,0,1,0)</f>
        <v>0.3234627152638428</v>
      </c>
      <c r="S298" s="87">
        <f t="shared" si="41"/>
        <v>0</v>
      </c>
    </row>
    <row r="299" spans="1:19" ht="15" customHeight="1">
      <c r="A299" s="82" t="s">
        <v>121</v>
      </c>
      <c r="B299" s="93">
        <v>296</v>
      </c>
      <c r="C299" s="117">
        <f t="shared" si="44"/>
        <v>0</v>
      </c>
      <c r="D299" s="117">
        <f>IF(G298=0,0,IF(G298&lt;BondCalculator!$B$13,G298+E299,BondCalculator!$B$13))</f>
        <v>0</v>
      </c>
      <c r="E299" s="117">
        <f>C299*BondCalculator!$B$7/12</f>
        <v>0</v>
      </c>
      <c r="F299" s="117">
        <f t="shared" si="36"/>
        <v>0</v>
      </c>
      <c r="G299" s="117">
        <f t="shared" si="42"/>
        <v>0</v>
      </c>
      <c r="H299" s="94">
        <f t="shared" si="43"/>
        <v>0</v>
      </c>
      <c r="J299" s="85">
        <f t="shared" si="37"/>
        <v>0</v>
      </c>
      <c r="K299" s="85">
        <f>IF(N298=0,0,IF(N298&lt;BondCalculator!$B$14+BondCalculator!$B$15,N298+L299,BondCalculator!$B$14+BondCalculator!$B$15))</f>
        <v>0</v>
      </c>
      <c r="L299" s="85">
        <f>J299*BondCalculator!$B$7/12</f>
        <v>0</v>
      </c>
      <c r="M299" s="85">
        <f t="shared" si="38"/>
        <v>0</v>
      </c>
      <c r="N299" s="85">
        <f t="shared" si="39"/>
        <v>0</v>
      </c>
      <c r="P299" s="85">
        <f t="shared" si="40"/>
        <v>0</v>
      </c>
      <c r="Q299" s="86">
        <f>-PV(BondCalculator!$B$10/12,B299,0,1,0)</f>
        <v>0.32222750980957277</v>
      </c>
      <c r="S299" s="87">
        <f t="shared" si="41"/>
        <v>0</v>
      </c>
    </row>
    <row r="300" spans="1:19" ht="15" customHeight="1">
      <c r="A300" s="82" t="s">
        <v>121</v>
      </c>
      <c r="B300" s="93">
        <v>297</v>
      </c>
      <c r="C300" s="117">
        <f t="shared" si="44"/>
        <v>0</v>
      </c>
      <c r="D300" s="117">
        <f>IF(G299=0,0,IF(G299&lt;BondCalculator!$B$13,G299+E300,BondCalculator!$B$13))</f>
        <v>0</v>
      </c>
      <c r="E300" s="117">
        <f>C300*BondCalculator!$B$7/12</f>
        <v>0</v>
      </c>
      <c r="F300" s="117">
        <f t="shared" si="36"/>
        <v>0</v>
      </c>
      <c r="G300" s="117">
        <f t="shared" si="42"/>
        <v>0</v>
      </c>
      <c r="H300" s="94">
        <f t="shared" si="43"/>
        <v>0</v>
      </c>
      <c r="J300" s="85">
        <f t="shared" si="37"/>
        <v>0</v>
      </c>
      <c r="K300" s="85">
        <f>IF(N299=0,0,IF(N299&lt;BondCalculator!$B$14+BondCalculator!$B$15,N299+L300,BondCalculator!$B$14+BondCalculator!$B$15))</f>
        <v>0</v>
      </c>
      <c r="L300" s="85">
        <f>J300*BondCalculator!$B$7/12</f>
        <v>0</v>
      </c>
      <c r="M300" s="85">
        <f t="shared" si="38"/>
        <v>0</v>
      </c>
      <c r="N300" s="85">
        <f t="shared" si="39"/>
        <v>0</v>
      </c>
      <c r="P300" s="85">
        <f t="shared" si="40"/>
        <v>0</v>
      </c>
      <c r="Q300" s="86">
        <f>-PV(BondCalculator!$B$10/12,B300,0,1,0)</f>
        <v>0.32099702122819795</v>
      </c>
      <c r="S300" s="87">
        <f t="shared" si="41"/>
        <v>0</v>
      </c>
    </row>
    <row r="301" spans="1:19" ht="15" customHeight="1">
      <c r="A301" s="82" t="s">
        <v>121</v>
      </c>
      <c r="B301" s="93">
        <v>298</v>
      </c>
      <c r="C301" s="117">
        <f t="shared" si="44"/>
        <v>0</v>
      </c>
      <c r="D301" s="117">
        <f>IF(G300=0,0,IF(G300&lt;BondCalculator!$B$13,G300+E301,BondCalculator!$B$13))</f>
        <v>0</v>
      </c>
      <c r="E301" s="117">
        <f>C301*BondCalculator!$B$7/12</f>
        <v>0</v>
      </c>
      <c r="F301" s="117">
        <f t="shared" si="36"/>
        <v>0</v>
      </c>
      <c r="G301" s="117">
        <f t="shared" si="42"/>
        <v>0</v>
      </c>
      <c r="H301" s="94">
        <f t="shared" si="43"/>
        <v>0</v>
      </c>
      <c r="J301" s="85">
        <f t="shared" si="37"/>
        <v>0</v>
      </c>
      <c r="K301" s="85">
        <f>IF(N300=0,0,IF(N300&lt;BondCalculator!$B$14+BondCalculator!$B$15,N300+L301,BondCalculator!$B$14+BondCalculator!$B$15))</f>
        <v>0</v>
      </c>
      <c r="L301" s="85">
        <f>J301*BondCalculator!$B$7/12</f>
        <v>0</v>
      </c>
      <c r="M301" s="85">
        <f t="shared" si="38"/>
        <v>0</v>
      </c>
      <c r="N301" s="85">
        <f t="shared" si="39"/>
        <v>0</v>
      </c>
      <c r="P301" s="85">
        <f t="shared" si="40"/>
        <v>0</v>
      </c>
      <c r="Q301" s="86">
        <f>-PV(BondCalculator!$B$10/12,B301,0,1,0)</f>
        <v>0.3197712315074196</v>
      </c>
      <c r="S301" s="87">
        <f t="shared" si="41"/>
        <v>0</v>
      </c>
    </row>
    <row r="302" spans="1:19" ht="15" customHeight="1">
      <c r="A302" s="82" t="s">
        <v>121</v>
      </c>
      <c r="B302" s="93">
        <v>299</v>
      </c>
      <c r="C302" s="117">
        <f t="shared" si="44"/>
        <v>0</v>
      </c>
      <c r="D302" s="117">
        <f>IF(G301=0,0,IF(G301&lt;BondCalculator!$B$13,G301+E302,BondCalculator!$B$13))</f>
        <v>0</v>
      </c>
      <c r="E302" s="117">
        <f>C302*BondCalculator!$B$7/12</f>
        <v>0</v>
      </c>
      <c r="F302" s="117">
        <f t="shared" si="36"/>
        <v>0</v>
      </c>
      <c r="G302" s="117">
        <f t="shared" si="42"/>
        <v>0</v>
      </c>
      <c r="H302" s="94">
        <f t="shared" si="43"/>
        <v>0</v>
      </c>
      <c r="J302" s="85">
        <f t="shared" si="37"/>
        <v>0</v>
      </c>
      <c r="K302" s="85">
        <f>IF(N301=0,0,IF(N301&lt;BondCalculator!$B$14+BondCalculator!$B$15,N301+L302,BondCalculator!$B$14+BondCalculator!$B$15))</f>
        <v>0</v>
      </c>
      <c r="L302" s="85">
        <f>J302*BondCalculator!$B$7/12</f>
        <v>0</v>
      </c>
      <c r="M302" s="85">
        <f t="shared" si="38"/>
        <v>0</v>
      </c>
      <c r="N302" s="85">
        <f t="shared" si="39"/>
        <v>0</v>
      </c>
      <c r="P302" s="85">
        <f t="shared" si="40"/>
        <v>0</v>
      </c>
      <c r="Q302" s="86">
        <f>-PV(BondCalculator!$B$10/12,B302,0,1,0)</f>
        <v>0.31855012270372196</v>
      </c>
      <c r="S302" s="87">
        <f t="shared" si="41"/>
        <v>0</v>
      </c>
    </row>
    <row r="303" spans="1:19" ht="15" customHeight="1">
      <c r="A303" s="82" t="s">
        <v>121</v>
      </c>
      <c r="B303" s="93">
        <v>300</v>
      </c>
      <c r="C303" s="117">
        <f t="shared" si="44"/>
        <v>0</v>
      </c>
      <c r="D303" s="117">
        <f>IF(G302=0,0,IF(G302&lt;BondCalculator!$B$13,G302+E303,BondCalculator!$B$13))</f>
        <v>0</v>
      </c>
      <c r="E303" s="117">
        <f>C303*BondCalculator!$B$7/12</f>
        <v>0</v>
      </c>
      <c r="F303" s="117">
        <f t="shared" si="36"/>
        <v>0</v>
      </c>
      <c r="G303" s="117">
        <f t="shared" si="42"/>
        <v>0</v>
      </c>
      <c r="H303" s="94">
        <f t="shared" si="43"/>
        <v>0</v>
      </c>
      <c r="J303" s="85">
        <f t="shared" si="37"/>
        <v>0</v>
      </c>
      <c r="K303" s="85">
        <f>IF(N302=0,0,IF(N302&lt;BondCalculator!$B$14+BondCalculator!$B$15,N302+L303,BondCalculator!$B$14+BondCalculator!$B$15))</f>
        <v>0</v>
      </c>
      <c r="L303" s="85">
        <f>J303*BondCalculator!$B$7/12</f>
        <v>0</v>
      </c>
      <c r="M303" s="85">
        <f t="shared" si="38"/>
        <v>0</v>
      </c>
      <c r="N303" s="85">
        <f t="shared" si="39"/>
        <v>0</v>
      </c>
      <c r="P303" s="85">
        <f t="shared" si="40"/>
        <v>0</v>
      </c>
      <c r="Q303" s="86">
        <f>-PV(BondCalculator!$B$10/12,B303,0,1,0)</f>
        <v>0.3173336769421106</v>
      </c>
      <c r="S303" s="87">
        <f t="shared" si="41"/>
        <v>0</v>
      </c>
    </row>
    <row r="304" spans="1:19" ht="15" customHeight="1">
      <c r="A304" s="82" t="s">
        <v>122</v>
      </c>
      <c r="B304" s="93">
        <v>301</v>
      </c>
      <c r="C304" s="117">
        <f t="shared" si="44"/>
        <v>0</v>
      </c>
      <c r="D304" s="117">
        <f>IF(G303=0,0,IF(G303&lt;BondCalculator!$B$13,G303+E304,BondCalculator!$B$13))</f>
        <v>0</v>
      </c>
      <c r="E304" s="117">
        <f>C304*BondCalculator!$B$7/12</f>
        <v>0</v>
      </c>
      <c r="F304" s="117">
        <f t="shared" si="36"/>
        <v>0</v>
      </c>
      <c r="G304" s="117">
        <f t="shared" si="42"/>
        <v>0</v>
      </c>
      <c r="H304" s="94">
        <f t="shared" si="43"/>
        <v>0</v>
      </c>
      <c r="J304" s="85">
        <f t="shared" si="37"/>
        <v>0</v>
      </c>
      <c r="K304" s="85">
        <f>IF(N303=0,0,IF(N303&lt;BondCalculator!$B$14+BondCalculator!$B$15,N303+L304,BondCalculator!$B$14+BondCalculator!$B$15))</f>
        <v>0</v>
      </c>
      <c r="L304" s="85">
        <f>J304*BondCalculator!$B$7/12</f>
        <v>0</v>
      </c>
      <c r="M304" s="85">
        <f t="shared" si="38"/>
        <v>0</v>
      </c>
      <c r="N304" s="85">
        <f t="shared" si="39"/>
        <v>0</v>
      </c>
      <c r="P304" s="85">
        <f t="shared" si="40"/>
        <v>0</v>
      </c>
      <c r="Q304" s="86">
        <f>-PV(BondCalculator!$B$10/12,B304,0,1,0)</f>
        <v>0.3161218764158499</v>
      </c>
      <c r="S304" s="87">
        <f t="shared" si="41"/>
        <v>0</v>
      </c>
    </row>
    <row r="305" spans="1:19" ht="15" customHeight="1">
      <c r="A305" s="82" t="s">
        <v>122</v>
      </c>
      <c r="B305" s="93">
        <v>302</v>
      </c>
      <c r="C305" s="117">
        <f t="shared" si="44"/>
        <v>0</v>
      </c>
      <c r="D305" s="117">
        <f>IF(G304=0,0,IF(G304&lt;BondCalculator!$B$13,G304+E305,BondCalculator!$B$13))</f>
        <v>0</v>
      </c>
      <c r="E305" s="117">
        <f>C305*BondCalculator!$B$7/12</f>
        <v>0</v>
      </c>
      <c r="F305" s="117">
        <f t="shared" si="36"/>
        <v>0</v>
      </c>
      <c r="G305" s="117">
        <f t="shared" si="42"/>
        <v>0</v>
      </c>
      <c r="H305" s="94">
        <f t="shared" si="43"/>
        <v>0</v>
      </c>
      <c r="J305" s="85">
        <f t="shared" si="37"/>
        <v>0</v>
      </c>
      <c r="K305" s="85">
        <f>IF(N304=0,0,IF(N304&lt;BondCalculator!$B$14+BondCalculator!$B$15,N304+L305,BondCalculator!$B$14+BondCalculator!$B$15))</f>
        <v>0</v>
      </c>
      <c r="L305" s="85">
        <f>J305*BondCalculator!$B$7/12</f>
        <v>0</v>
      </c>
      <c r="M305" s="85">
        <f t="shared" si="38"/>
        <v>0</v>
      </c>
      <c r="N305" s="85">
        <f t="shared" si="39"/>
        <v>0</v>
      </c>
      <c r="P305" s="85">
        <f t="shared" si="40"/>
        <v>0</v>
      </c>
      <c r="Q305" s="86">
        <f>-PV(BondCalculator!$B$10/12,B305,0,1,0)</f>
        <v>0.31491470338620275</v>
      </c>
      <c r="S305" s="87">
        <f t="shared" si="41"/>
        <v>0</v>
      </c>
    </row>
    <row r="306" spans="1:19" ht="15" customHeight="1">
      <c r="A306" s="82" t="s">
        <v>122</v>
      </c>
      <c r="B306" s="93">
        <v>303</v>
      </c>
      <c r="C306" s="117">
        <f t="shared" si="44"/>
        <v>0</v>
      </c>
      <c r="D306" s="117">
        <f>IF(G305=0,0,IF(G305&lt;BondCalculator!$B$13,G305+E306,BondCalculator!$B$13))</f>
        <v>0</v>
      </c>
      <c r="E306" s="117">
        <f>C306*BondCalculator!$B$7/12</f>
        <v>0</v>
      </c>
      <c r="F306" s="117">
        <f t="shared" si="36"/>
        <v>0</v>
      </c>
      <c r="G306" s="117">
        <f t="shared" si="42"/>
        <v>0</v>
      </c>
      <c r="H306" s="94">
        <f t="shared" si="43"/>
        <v>0</v>
      </c>
      <c r="J306" s="85">
        <f t="shared" si="37"/>
        <v>0</v>
      </c>
      <c r="K306" s="85">
        <f>IF(N305=0,0,IF(N305&lt;BondCalculator!$B$14+BondCalculator!$B$15,N305+L306,BondCalculator!$B$14+BondCalculator!$B$15))</f>
        <v>0</v>
      </c>
      <c r="L306" s="85">
        <f>J306*BondCalculator!$B$7/12</f>
        <v>0</v>
      </c>
      <c r="M306" s="85">
        <f t="shared" si="38"/>
        <v>0</v>
      </c>
      <c r="N306" s="85">
        <f t="shared" si="39"/>
        <v>0</v>
      </c>
      <c r="P306" s="85">
        <f t="shared" si="40"/>
        <v>0</v>
      </c>
      <c r="Q306" s="86">
        <f>-PV(BondCalculator!$B$10/12,B306,0,1,0)</f>
        <v>0.31371214018217103</v>
      </c>
      <c r="S306" s="87">
        <f t="shared" si="41"/>
        <v>0</v>
      </c>
    </row>
    <row r="307" spans="1:19" ht="15" customHeight="1">
      <c r="A307" s="82" t="s">
        <v>122</v>
      </c>
      <c r="B307" s="93">
        <v>304</v>
      </c>
      <c r="C307" s="117">
        <f t="shared" si="44"/>
        <v>0</v>
      </c>
      <c r="D307" s="117">
        <f>IF(G306=0,0,IF(G306&lt;BondCalculator!$B$13,G306+E307,BondCalculator!$B$13))</f>
        <v>0</v>
      </c>
      <c r="E307" s="117">
        <f>C307*BondCalculator!$B$7/12</f>
        <v>0</v>
      </c>
      <c r="F307" s="117">
        <f t="shared" si="36"/>
        <v>0</v>
      </c>
      <c r="G307" s="117">
        <f t="shared" si="42"/>
        <v>0</v>
      </c>
      <c r="H307" s="94">
        <f t="shared" si="43"/>
        <v>0</v>
      </c>
      <c r="J307" s="85">
        <f t="shared" si="37"/>
        <v>0</v>
      </c>
      <c r="K307" s="85">
        <f>IF(N306=0,0,IF(N306&lt;BondCalculator!$B$14+BondCalculator!$B$15,N306+L307,BondCalculator!$B$14+BondCalculator!$B$15))</f>
        <v>0</v>
      </c>
      <c r="L307" s="85">
        <f>J307*BondCalculator!$B$7/12</f>
        <v>0</v>
      </c>
      <c r="M307" s="85">
        <f t="shared" si="38"/>
        <v>0</v>
      </c>
      <c r="N307" s="85">
        <f t="shared" si="39"/>
        <v>0</v>
      </c>
      <c r="P307" s="85">
        <f t="shared" si="40"/>
        <v>0</v>
      </c>
      <c r="Q307" s="86">
        <f>-PV(BondCalculator!$B$10/12,B307,0,1,0)</f>
        <v>0.31251416920023684</v>
      </c>
      <c r="S307" s="87">
        <f t="shared" si="41"/>
        <v>0</v>
      </c>
    </row>
    <row r="308" spans="1:19" ht="15" customHeight="1">
      <c r="A308" s="82" t="s">
        <v>122</v>
      </c>
      <c r="B308" s="93">
        <v>305</v>
      </c>
      <c r="C308" s="117">
        <f t="shared" si="44"/>
        <v>0</v>
      </c>
      <c r="D308" s="117">
        <f>IF(G307=0,0,IF(G307&lt;BondCalculator!$B$13,G307+E308,BondCalculator!$B$13))</f>
        <v>0</v>
      </c>
      <c r="E308" s="117">
        <f>C308*BondCalculator!$B$7/12</f>
        <v>0</v>
      </c>
      <c r="F308" s="117">
        <f aca="true" t="shared" si="45" ref="F308:F363">D308-E308</f>
        <v>0</v>
      </c>
      <c r="G308" s="117">
        <f t="shared" si="42"/>
        <v>0</v>
      </c>
      <c r="H308" s="94">
        <f t="shared" si="43"/>
        <v>0</v>
      </c>
      <c r="J308" s="85">
        <f aca="true" t="shared" si="46" ref="J308:J363">IF(ROUND(N307,0)&gt;0,N307,0)</f>
        <v>0</v>
      </c>
      <c r="K308" s="85">
        <f>IF(N307=0,0,IF(N307&lt;BondCalculator!$B$14+BondCalculator!$B$15,N307+L308,BondCalculator!$B$14+BondCalculator!$B$15))</f>
        <v>0</v>
      </c>
      <c r="L308" s="85">
        <f>J308*BondCalculator!$B$7/12</f>
        <v>0</v>
      </c>
      <c r="M308" s="85">
        <f aca="true" t="shared" si="47" ref="M308:M363">IF(K308-L308&gt;N307,N307,K308-L308)</f>
        <v>0</v>
      </c>
      <c r="N308" s="85">
        <f aca="true" t="shared" si="48" ref="N308:N363">J308-M308</f>
        <v>0</v>
      </c>
      <c r="P308" s="85">
        <f aca="true" t="shared" si="49" ref="P308:P363">E308-L308</f>
        <v>0</v>
      </c>
      <c r="Q308" s="86">
        <f>-PV(BondCalculator!$B$10/12,B308,0,1,0)</f>
        <v>0.3113207729041044</v>
      </c>
      <c r="S308" s="87">
        <f t="shared" si="41"/>
        <v>0</v>
      </c>
    </row>
    <row r="309" spans="1:19" ht="15" customHeight="1">
      <c r="A309" s="82" t="s">
        <v>122</v>
      </c>
      <c r="B309" s="93">
        <v>306</v>
      </c>
      <c r="C309" s="117">
        <f t="shared" si="44"/>
        <v>0</v>
      </c>
      <c r="D309" s="117">
        <f>IF(G308=0,0,IF(G308&lt;BondCalculator!$B$13,G308+E309,BondCalculator!$B$13))</f>
        <v>0</v>
      </c>
      <c r="E309" s="117">
        <f>C309*BondCalculator!$B$7/12</f>
        <v>0</v>
      </c>
      <c r="F309" s="117">
        <f t="shared" si="45"/>
        <v>0</v>
      </c>
      <c r="G309" s="117">
        <f t="shared" si="42"/>
        <v>0</v>
      </c>
      <c r="H309" s="94">
        <f t="shared" si="43"/>
        <v>0</v>
      </c>
      <c r="J309" s="85">
        <f t="shared" si="46"/>
        <v>0</v>
      </c>
      <c r="K309" s="85">
        <f>IF(N308=0,0,IF(N308&lt;BondCalculator!$B$14+BondCalculator!$B$15,N308+L309,BondCalculator!$B$14+BondCalculator!$B$15))</f>
        <v>0</v>
      </c>
      <c r="L309" s="85">
        <f>J309*BondCalculator!$B$7/12</f>
        <v>0</v>
      </c>
      <c r="M309" s="85">
        <f t="shared" si="47"/>
        <v>0</v>
      </c>
      <c r="N309" s="85">
        <f t="shared" si="48"/>
        <v>0</v>
      </c>
      <c r="P309" s="85">
        <f t="shared" si="49"/>
        <v>0</v>
      </c>
      <c r="Q309" s="86">
        <f>-PV(BondCalculator!$B$10/12,B309,0,1,0)</f>
        <v>0.3101319338244441</v>
      </c>
      <c r="S309" s="87">
        <f t="shared" si="41"/>
        <v>0</v>
      </c>
    </row>
    <row r="310" spans="1:19" ht="15" customHeight="1">
      <c r="A310" s="82" t="s">
        <v>122</v>
      </c>
      <c r="B310" s="93">
        <v>307</v>
      </c>
      <c r="C310" s="117">
        <f t="shared" si="44"/>
        <v>0</v>
      </c>
      <c r="D310" s="117">
        <f>IF(G309=0,0,IF(G309&lt;BondCalculator!$B$13,G309+E310,BondCalculator!$B$13))</f>
        <v>0</v>
      </c>
      <c r="E310" s="117">
        <f>C310*BondCalculator!$B$7/12</f>
        <v>0</v>
      </c>
      <c r="F310" s="117">
        <f t="shared" si="45"/>
        <v>0</v>
      </c>
      <c r="G310" s="117">
        <f t="shared" si="42"/>
        <v>0</v>
      </c>
      <c r="H310" s="94">
        <f t="shared" si="43"/>
        <v>0</v>
      </c>
      <c r="J310" s="85">
        <f t="shared" si="46"/>
        <v>0</v>
      </c>
      <c r="K310" s="85">
        <f>IF(N309=0,0,IF(N309&lt;BondCalculator!$B$14+BondCalculator!$B$15,N309+L310,BondCalculator!$B$14+BondCalculator!$B$15))</f>
        <v>0</v>
      </c>
      <c r="L310" s="85">
        <f>J310*BondCalculator!$B$7/12</f>
        <v>0</v>
      </c>
      <c r="M310" s="85">
        <f t="shared" si="47"/>
        <v>0</v>
      </c>
      <c r="N310" s="85">
        <f t="shared" si="48"/>
        <v>0</v>
      </c>
      <c r="P310" s="85">
        <f t="shared" si="49"/>
        <v>0</v>
      </c>
      <c r="Q310" s="86">
        <f>-PV(BondCalculator!$B$10/12,B310,0,1,0)</f>
        <v>0.30894763455863594</v>
      </c>
      <c r="S310" s="87">
        <f t="shared" si="41"/>
        <v>0</v>
      </c>
    </row>
    <row r="311" spans="1:19" ht="15" customHeight="1">
      <c r="A311" s="82" t="s">
        <v>122</v>
      </c>
      <c r="B311" s="93">
        <v>308</v>
      </c>
      <c r="C311" s="117">
        <f t="shared" si="44"/>
        <v>0</v>
      </c>
      <c r="D311" s="117">
        <f>IF(G310=0,0,IF(G310&lt;BondCalculator!$B$13,G310+E311,BondCalculator!$B$13))</f>
        <v>0</v>
      </c>
      <c r="E311" s="117">
        <f>C311*BondCalculator!$B$7/12</f>
        <v>0</v>
      </c>
      <c r="F311" s="117">
        <f t="shared" si="45"/>
        <v>0</v>
      </c>
      <c r="G311" s="117">
        <f t="shared" si="42"/>
        <v>0</v>
      </c>
      <c r="H311" s="94">
        <f t="shared" si="43"/>
        <v>0</v>
      </c>
      <c r="J311" s="85">
        <f t="shared" si="46"/>
        <v>0</v>
      </c>
      <c r="K311" s="85">
        <f>IF(N310=0,0,IF(N310&lt;BondCalculator!$B$14+BondCalculator!$B$15,N310+L311,BondCalculator!$B$14+BondCalculator!$B$15))</f>
        <v>0</v>
      </c>
      <c r="L311" s="85">
        <f>J311*BondCalculator!$B$7/12</f>
        <v>0</v>
      </c>
      <c r="M311" s="85">
        <f t="shared" si="47"/>
        <v>0</v>
      </c>
      <c r="N311" s="85">
        <f t="shared" si="48"/>
        <v>0</v>
      </c>
      <c r="P311" s="85">
        <f t="shared" si="49"/>
        <v>0</v>
      </c>
      <c r="Q311" s="86">
        <f>-PV(BondCalculator!$B$10/12,B311,0,1,0)</f>
        <v>0.30776785777051574</v>
      </c>
      <c r="S311" s="87">
        <f t="shared" si="41"/>
        <v>0</v>
      </c>
    </row>
    <row r="312" spans="1:19" ht="15" customHeight="1">
      <c r="A312" s="82" t="s">
        <v>122</v>
      </c>
      <c r="B312" s="93">
        <v>309</v>
      </c>
      <c r="C312" s="117">
        <f t="shared" si="44"/>
        <v>0</v>
      </c>
      <c r="D312" s="117">
        <f>IF(G311=0,0,IF(G311&lt;BondCalculator!$B$13,G311+E312,BondCalculator!$B$13))</f>
        <v>0</v>
      </c>
      <c r="E312" s="117">
        <f>C312*BondCalculator!$B$7/12</f>
        <v>0</v>
      </c>
      <c r="F312" s="117">
        <f t="shared" si="45"/>
        <v>0</v>
      </c>
      <c r="G312" s="117">
        <f t="shared" si="42"/>
        <v>0</v>
      </c>
      <c r="H312" s="94">
        <f t="shared" si="43"/>
        <v>0</v>
      </c>
      <c r="J312" s="85">
        <f t="shared" si="46"/>
        <v>0</v>
      </c>
      <c r="K312" s="85">
        <f>IF(N311=0,0,IF(N311&lt;BondCalculator!$B$14+BondCalculator!$B$15,N311+L312,BondCalculator!$B$14+BondCalculator!$B$15))</f>
        <v>0</v>
      </c>
      <c r="L312" s="85">
        <f>J312*BondCalculator!$B$7/12</f>
        <v>0</v>
      </c>
      <c r="M312" s="85">
        <f t="shared" si="47"/>
        <v>0</v>
      </c>
      <c r="N312" s="85">
        <f t="shared" si="48"/>
        <v>0</v>
      </c>
      <c r="P312" s="85">
        <f t="shared" si="49"/>
        <v>0</v>
      </c>
      <c r="Q312" s="86">
        <f>-PV(BondCalculator!$B$10/12,B312,0,1,0)</f>
        <v>0.30659258619012025</v>
      </c>
      <c r="S312" s="87">
        <f t="shared" si="41"/>
        <v>0</v>
      </c>
    </row>
    <row r="313" spans="1:19" ht="15" customHeight="1">
      <c r="A313" s="82" t="s">
        <v>122</v>
      </c>
      <c r="B313" s="93">
        <v>310</v>
      </c>
      <c r="C313" s="117">
        <f t="shared" si="44"/>
        <v>0</v>
      </c>
      <c r="D313" s="117">
        <f>IF(G312=0,0,IF(G312&lt;BondCalculator!$B$13,G312+E313,BondCalculator!$B$13))</f>
        <v>0</v>
      </c>
      <c r="E313" s="117">
        <f>C313*BondCalculator!$B$7/12</f>
        <v>0</v>
      </c>
      <c r="F313" s="117">
        <f t="shared" si="45"/>
        <v>0</v>
      </c>
      <c r="G313" s="117">
        <f t="shared" si="42"/>
        <v>0</v>
      </c>
      <c r="H313" s="94">
        <f t="shared" si="43"/>
        <v>0</v>
      </c>
      <c r="J313" s="85">
        <f t="shared" si="46"/>
        <v>0</v>
      </c>
      <c r="K313" s="85">
        <f>IF(N312=0,0,IF(N312&lt;BondCalculator!$B$14+BondCalculator!$B$15,N312+L313,BondCalculator!$B$14+BondCalculator!$B$15))</f>
        <v>0</v>
      </c>
      <c r="L313" s="85">
        <f>J313*BondCalculator!$B$7/12</f>
        <v>0</v>
      </c>
      <c r="M313" s="85">
        <f t="shared" si="47"/>
        <v>0</v>
      </c>
      <c r="N313" s="85">
        <f t="shared" si="48"/>
        <v>0</v>
      </c>
      <c r="P313" s="85">
        <f t="shared" si="49"/>
        <v>0</v>
      </c>
      <c r="Q313" s="86">
        <f>-PV(BondCalculator!$B$10/12,B313,0,1,0)</f>
        <v>0.30542180261343543</v>
      </c>
      <c r="S313" s="87">
        <f t="shared" si="41"/>
        <v>0</v>
      </c>
    </row>
    <row r="314" spans="1:19" ht="15" customHeight="1">
      <c r="A314" s="82" t="s">
        <v>122</v>
      </c>
      <c r="B314" s="93">
        <v>311</v>
      </c>
      <c r="C314" s="117">
        <f t="shared" si="44"/>
        <v>0</v>
      </c>
      <c r="D314" s="117">
        <f>IF(G313=0,0,IF(G313&lt;BondCalculator!$B$13,G313+E314,BondCalculator!$B$13))</f>
        <v>0</v>
      </c>
      <c r="E314" s="117">
        <f>C314*BondCalculator!$B$7/12</f>
        <v>0</v>
      </c>
      <c r="F314" s="117">
        <f t="shared" si="45"/>
        <v>0</v>
      </c>
      <c r="G314" s="117">
        <f t="shared" si="42"/>
        <v>0</v>
      </c>
      <c r="H314" s="94">
        <f t="shared" si="43"/>
        <v>0</v>
      </c>
      <c r="J314" s="85">
        <f t="shared" si="46"/>
        <v>0</v>
      </c>
      <c r="K314" s="85">
        <f>IF(N313=0,0,IF(N313&lt;BondCalculator!$B$14+BondCalculator!$B$15,N313+L314,BondCalculator!$B$14+BondCalculator!$B$15))</f>
        <v>0</v>
      </c>
      <c r="L314" s="85">
        <f>J314*BondCalculator!$B$7/12</f>
        <v>0</v>
      </c>
      <c r="M314" s="85">
        <f t="shared" si="47"/>
        <v>0</v>
      </c>
      <c r="N314" s="85">
        <f t="shared" si="48"/>
        <v>0</v>
      </c>
      <c r="P314" s="85">
        <f t="shared" si="49"/>
        <v>0</v>
      </c>
      <c r="Q314" s="86">
        <f>-PV(BondCalculator!$B$10/12,B314,0,1,0)</f>
        <v>0.30425548990214385</v>
      </c>
      <c r="S314" s="87">
        <f t="shared" si="41"/>
        <v>0</v>
      </c>
    </row>
    <row r="315" spans="1:19" ht="15" customHeight="1">
      <c r="A315" s="82" t="s">
        <v>122</v>
      </c>
      <c r="B315" s="93">
        <v>312</v>
      </c>
      <c r="C315" s="117">
        <f t="shared" si="44"/>
        <v>0</v>
      </c>
      <c r="D315" s="117">
        <f>IF(G314=0,0,IF(G314&lt;BondCalculator!$B$13,G314+E315,BondCalculator!$B$13))</f>
        <v>0</v>
      </c>
      <c r="E315" s="117">
        <f>C315*BondCalculator!$B$7/12</f>
        <v>0</v>
      </c>
      <c r="F315" s="117">
        <f t="shared" si="45"/>
        <v>0</v>
      </c>
      <c r="G315" s="117">
        <f t="shared" si="42"/>
        <v>0</v>
      </c>
      <c r="H315" s="94">
        <f t="shared" si="43"/>
        <v>0</v>
      </c>
      <c r="J315" s="85">
        <f t="shared" si="46"/>
        <v>0</v>
      </c>
      <c r="K315" s="85">
        <f>IF(N314=0,0,IF(N314&lt;BondCalculator!$B$14+BondCalculator!$B$15,N314+L315,BondCalculator!$B$14+BondCalculator!$B$15))</f>
        <v>0</v>
      </c>
      <c r="L315" s="85">
        <f>J315*BondCalculator!$B$7/12</f>
        <v>0</v>
      </c>
      <c r="M315" s="85">
        <f t="shared" si="47"/>
        <v>0</v>
      </c>
      <c r="N315" s="85">
        <f t="shared" si="48"/>
        <v>0</v>
      </c>
      <c r="P315" s="85">
        <f t="shared" si="49"/>
        <v>0</v>
      </c>
      <c r="Q315" s="86">
        <f>-PV(BondCalculator!$B$10/12,B315,0,1,0)</f>
        <v>0.3030936309833742</v>
      </c>
      <c r="S315" s="87">
        <f t="shared" si="41"/>
        <v>0</v>
      </c>
    </row>
    <row r="316" spans="1:19" ht="15" customHeight="1">
      <c r="A316" s="82" t="s">
        <v>123</v>
      </c>
      <c r="B316" s="93">
        <v>313</v>
      </c>
      <c r="C316" s="117">
        <f t="shared" si="44"/>
        <v>0</v>
      </c>
      <c r="D316" s="117">
        <f>IF(G315=0,0,IF(G315&lt;BondCalculator!$B$13,G315+E316,BondCalculator!$B$13))</f>
        <v>0</v>
      </c>
      <c r="E316" s="117">
        <f>C316*BondCalculator!$B$7/12</f>
        <v>0</v>
      </c>
      <c r="F316" s="117">
        <f t="shared" si="45"/>
        <v>0</v>
      </c>
      <c r="G316" s="117">
        <f t="shared" si="42"/>
        <v>0</v>
      </c>
      <c r="H316" s="94">
        <f t="shared" si="43"/>
        <v>0</v>
      </c>
      <c r="J316" s="85">
        <f t="shared" si="46"/>
        <v>0</v>
      </c>
      <c r="K316" s="85">
        <f>IF(N315=0,0,IF(N315&lt;BondCalculator!$B$14+BondCalculator!$B$15,N315+L316,BondCalculator!$B$14+BondCalculator!$B$15))</f>
        <v>0</v>
      </c>
      <c r="L316" s="85">
        <f>J316*BondCalculator!$B$7/12</f>
        <v>0</v>
      </c>
      <c r="M316" s="85">
        <f t="shared" si="47"/>
        <v>0</v>
      </c>
      <c r="N316" s="85">
        <f t="shared" si="48"/>
        <v>0</v>
      </c>
      <c r="P316" s="85">
        <f t="shared" si="49"/>
        <v>0</v>
      </c>
      <c r="Q316" s="86">
        <f>-PV(BondCalculator!$B$10/12,B316,0,1,0)</f>
        <v>0.3019362088494514</v>
      </c>
      <c r="S316" s="87">
        <f t="shared" si="41"/>
        <v>0</v>
      </c>
    </row>
    <row r="317" spans="1:19" ht="15" customHeight="1">
      <c r="A317" s="82" t="s">
        <v>123</v>
      </c>
      <c r="B317" s="93">
        <v>314</v>
      </c>
      <c r="C317" s="117">
        <f t="shared" si="44"/>
        <v>0</v>
      </c>
      <c r="D317" s="117">
        <f>IF(G316=0,0,IF(G316&lt;BondCalculator!$B$13,G316+E317,BondCalculator!$B$13))</f>
        <v>0</v>
      </c>
      <c r="E317" s="117">
        <f>C317*BondCalculator!$B$7/12</f>
        <v>0</v>
      </c>
      <c r="F317" s="117">
        <f t="shared" si="45"/>
        <v>0</v>
      </c>
      <c r="G317" s="117">
        <f t="shared" si="42"/>
        <v>0</v>
      </c>
      <c r="H317" s="94">
        <f t="shared" si="43"/>
        <v>0</v>
      </c>
      <c r="J317" s="85">
        <f t="shared" si="46"/>
        <v>0</v>
      </c>
      <c r="K317" s="85">
        <f>IF(N316=0,0,IF(N316&lt;BondCalculator!$B$14+BondCalculator!$B$15,N316+L317,BondCalculator!$B$14+BondCalculator!$B$15))</f>
        <v>0</v>
      </c>
      <c r="L317" s="85">
        <f>J317*BondCalculator!$B$7/12</f>
        <v>0</v>
      </c>
      <c r="M317" s="85">
        <f t="shared" si="47"/>
        <v>0</v>
      </c>
      <c r="N317" s="85">
        <f t="shared" si="48"/>
        <v>0</v>
      </c>
      <c r="P317" s="85">
        <f t="shared" si="49"/>
        <v>0</v>
      </c>
      <c r="Q317" s="86">
        <f>-PV(BondCalculator!$B$10/12,B317,0,1,0)</f>
        <v>0.300783206557647</v>
      </c>
      <c r="S317" s="87">
        <f t="shared" si="41"/>
        <v>0</v>
      </c>
    </row>
    <row r="318" spans="1:19" ht="15" customHeight="1">
      <c r="A318" s="82" t="s">
        <v>123</v>
      </c>
      <c r="B318" s="93">
        <v>315</v>
      </c>
      <c r="C318" s="117">
        <f t="shared" si="44"/>
        <v>0</v>
      </c>
      <c r="D318" s="117">
        <f>IF(G317=0,0,IF(G317&lt;BondCalculator!$B$13,G317+E318,BondCalculator!$B$13))</f>
        <v>0</v>
      </c>
      <c r="E318" s="117">
        <f>C318*BondCalculator!$B$7/12</f>
        <v>0</v>
      </c>
      <c r="F318" s="117">
        <f t="shared" si="45"/>
        <v>0</v>
      </c>
      <c r="G318" s="117">
        <f t="shared" si="42"/>
        <v>0</v>
      </c>
      <c r="H318" s="94">
        <f t="shared" si="43"/>
        <v>0</v>
      </c>
      <c r="J318" s="85">
        <f t="shared" si="46"/>
        <v>0</v>
      </c>
      <c r="K318" s="85">
        <f>IF(N317=0,0,IF(N317&lt;BondCalculator!$B$14+BondCalculator!$B$15,N317+L318,BondCalculator!$B$14+BondCalculator!$B$15))</f>
        <v>0</v>
      </c>
      <c r="L318" s="85">
        <f>J318*BondCalculator!$B$7/12</f>
        <v>0</v>
      </c>
      <c r="M318" s="85">
        <f t="shared" si="47"/>
        <v>0</v>
      </c>
      <c r="N318" s="85">
        <f t="shared" si="48"/>
        <v>0</v>
      </c>
      <c r="P318" s="85">
        <f t="shared" si="49"/>
        <v>0</v>
      </c>
      <c r="Q318" s="86">
        <f>-PV(BondCalculator!$B$10/12,B318,0,1,0)</f>
        <v>0.29963460722993235</v>
      </c>
      <c r="S318" s="87">
        <f t="shared" si="41"/>
        <v>0</v>
      </c>
    </row>
    <row r="319" spans="1:19" ht="15" customHeight="1">
      <c r="A319" s="82" t="s">
        <v>123</v>
      </c>
      <c r="B319" s="93">
        <v>316</v>
      </c>
      <c r="C319" s="117">
        <f t="shared" si="44"/>
        <v>0</v>
      </c>
      <c r="D319" s="117">
        <f>IF(G318=0,0,IF(G318&lt;BondCalculator!$B$13,G318+E319,BondCalculator!$B$13))</f>
        <v>0</v>
      </c>
      <c r="E319" s="117">
        <f>C319*BondCalculator!$B$7/12</f>
        <v>0</v>
      </c>
      <c r="F319" s="117">
        <f t="shared" si="45"/>
        <v>0</v>
      </c>
      <c r="G319" s="117">
        <f t="shared" si="42"/>
        <v>0</v>
      </c>
      <c r="H319" s="94">
        <f t="shared" si="43"/>
        <v>0</v>
      </c>
      <c r="J319" s="85">
        <f t="shared" si="46"/>
        <v>0</v>
      </c>
      <c r="K319" s="85">
        <f>IF(N318=0,0,IF(N318&lt;BondCalculator!$B$14+BondCalculator!$B$15,N318+L319,BondCalculator!$B$14+BondCalculator!$B$15))</f>
        <v>0</v>
      </c>
      <c r="L319" s="85">
        <f>J319*BondCalculator!$B$7/12</f>
        <v>0</v>
      </c>
      <c r="M319" s="85">
        <f t="shared" si="47"/>
        <v>0</v>
      </c>
      <c r="N319" s="85">
        <f t="shared" si="48"/>
        <v>0</v>
      </c>
      <c r="P319" s="85">
        <f t="shared" si="49"/>
        <v>0</v>
      </c>
      <c r="Q319" s="86">
        <f>-PV(BondCalculator!$B$10/12,B319,0,1,0)</f>
        <v>0.2984903940527302</v>
      </c>
      <c r="S319" s="87">
        <f t="shared" si="41"/>
        <v>0</v>
      </c>
    </row>
    <row r="320" spans="1:19" ht="15" customHeight="1">
      <c r="A320" s="82" t="s">
        <v>123</v>
      </c>
      <c r="B320" s="93">
        <v>317</v>
      </c>
      <c r="C320" s="117">
        <f t="shared" si="44"/>
        <v>0</v>
      </c>
      <c r="D320" s="117">
        <f>IF(G319=0,0,IF(G319&lt;BondCalculator!$B$13,G319+E320,BondCalculator!$B$13))</f>
        <v>0</v>
      </c>
      <c r="E320" s="117">
        <f>C320*BondCalculator!$B$7/12</f>
        <v>0</v>
      </c>
      <c r="F320" s="117">
        <f t="shared" si="45"/>
        <v>0</v>
      </c>
      <c r="G320" s="117">
        <f t="shared" si="42"/>
        <v>0</v>
      </c>
      <c r="H320" s="94">
        <f t="shared" si="43"/>
        <v>0</v>
      </c>
      <c r="J320" s="85">
        <f t="shared" si="46"/>
        <v>0</v>
      </c>
      <c r="K320" s="85">
        <f>IF(N319=0,0,IF(N319&lt;BondCalculator!$B$14+BondCalculator!$B$15,N319+L320,BondCalculator!$B$14+BondCalculator!$B$15))</f>
        <v>0</v>
      </c>
      <c r="L320" s="85">
        <f>J320*BondCalculator!$B$7/12</f>
        <v>0</v>
      </c>
      <c r="M320" s="85">
        <f t="shared" si="47"/>
        <v>0</v>
      </c>
      <c r="N320" s="85">
        <f t="shared" si="48"/>
        <v>0</v>
      </c>
      <c r="P320" s="85">
        <f t="shared" si="49"/>
        <v>0</v>
      </c>
      <c r="Q320" s="86">
        <f>-PV(BondCalculator!$B$10/12,B320,0,1,0)</f>
        <v>0.2973505502766697</v>
      </c>
      <c r="S320" s="87">
        <f t="shared" si="41"/>
        <v>0</v>
      </c>
    </row>
    <row r="321" spans="1:19" ht="15" customHeight="1">
      <c r="A321" s="82" t="s">
        <v>123</v>
      </c>
      <c r="B321" s="93">
        <v>318</v>
      </c>
      <c r="C321" s="117">
        <f t="shared" si="44"/>
        <v>0</v>
      </c>
      <c r="D321" s="117">
        <f>IF(G320=0,0,IF(G320&lt;BondCalculator!$B$13,G320+E321,BondCalculator!$B$13))</f>
        <v>0</v>
      </c>
      <c r="E321" s="117">
        <f>C321*BondCalculator!$B$7/12</f>
        <v>0</v>
      </c>
      <c r="F321" s="117">
        <f t="shared" si="45"/>
        <v>0</v>
      </c>
      <c r="G321" s="117">
        <f t="shared" si="42"/>
        <v>0</v>
      </c>
      <c r="H321" s="94">
        <f t="shared" si="43"/>
        <v>0</v>
      </c>
      <c r="J321" s="85">
        <f t="shared" si="46"/>
        <v>0</v>
      </c>
      <c r="K321" s="85">
        <f>IF(N320=0,0,IF(N320&lt;BondCalculator!$B$14+BondCalculator!$B$15,N320+L321,BondCalculator!$B$14+BondCalculator!$B$15))</f>
        <v>0</v>
      </c>
      <c r="L321" s="85">
        <f>J321*BondCalculator!$B$7/12</f>
        <v>0</v>
      </c>
      <c r="M321" s="85">
        <f t="shared" si="47"/>
        <v>0</v>
      </c>
      <c r="N321" s="85">
        <f t="shared" si="48"/>
        <v>0</v>
      </c>
      <c r="P321" s="85">
        <f t="shared" si="49"/>
        <v>0</v>
      </c>
      <c r="Q321" s="86">
        <f>-PV(BondCalculator!$B$10/12,B321,0,1,0)</f>
        <v>0.2962150592163403</v>
      </c>
      <c r="S321" s="87">
        <f t="shared" si="41"/>
        <v>0</v>
      </c>
    </row>
    <row r="322" spans="1:19" ht="15" customHeight="1">
      <c r="A322" s="82" t="s">
        <v>123</v>
      </c>
      <c r="B322" s="93">
        <v>319</v>
      </c>
      <c r="C322" s="117">
        <f t="shared" si="44"/>
        <v>0</v>
      </c>
      <c r="D322" s="117">
        <f>IF(G321=0,0,IF(G321&lt;BondCalculator!$B$13,G321+E322,BondCalculator!$B$13))</f>
        <v>0</v>
      </c>
      <c r="E322" s="117">
        <f>C322*BondCalculator!$B$7/12</f>
        <v>0</v>
      </c>
      <c r="F322" s="117">
        <f t="shared" si="45"/>
        <v>0</v>
      </c>
      <c r="G322" s="117">
        <f t="shared" si="42"/>
        <v>0</v>
      </c>
      <c r="H322" s="94">
        <f t="shared" si="43"/>
        <v>0</v>
      </c>
      <c r="J322" s="85">
        <f t="shared" si="46"/>
        <v>0</v>
      </c>
      <c r="K322" s="85">
        <f>IF(N321=0,0,IF(N321&lt;BondCalculator!$B$14+BondCalculator!$B$15,N321+L322,BondCalculator!$B$14+BondCalculator!$B$15))</f>
        <v>0</v>
      </c>
      <c r="L322" s="85">
        <f>J322*BondCalculator!$B$7/12</f>
        <v>0</v>
      </c>
      <c r="M322" s="85">
        <f t="shared" si="47"/>
        <v>0</v>
      </c>
      <c r="N322" s="85">
        <f t="shared" si="48"/>
        <v>0</v>
      </c>
      <c r="P322" s="85">
        <f t="shared" si="49"/>
        <v>0</v>
      </c>
      <c r="Q322" s="86">
        <f>-PV(BondCalculator!$B$10/12,B322,0,1,0)</f>
        <v>0.29508390425004843</v>
      </c>
      <c r="S322" s="87">
        <f t="shared" si="41"/>
        <v>0</v>
      </c>
    </row>
    <row r="323" spans="1:19" ht="15" customHeight="1">
      <c r="A323" s="82" t="s">
        <v>123</v>
      </c>
      <c r="B323" s="93">
        <v>320</v>
      </c>
      <c r="C323" s="117">
        <f t="shared" si="44"/>
        <v>0</v>
      </c>
      <c r="D323" s="117">
        <f>IF(G322=0,0,IF(G322&lt;BondCalculator!$B$13,G322+E323,BondCalculator!$B$13))</f>
        <v>0</v>
      </c>
      <c r="E323" s="117">
        <f>C323*BondCalculator!$B$7/12</f>
        <v>0</v>
      </c>
      <c r="F323" s="117">
        <f t="shared" si="45"/>
        <v>0</v>
      </c>
      <c r="G323" s="117">
        <f t="shared" si="42"/>
        <v>0</v>
      </c>
      <c r="H323" s="94">
        <f t="shared" si="43"/>
        <v>0</v>
      </c>
      <c r="J323" s="85">
        <f t="shared" si="46"/>
        <v>0</v>
      </c>
      <c r="K323" s="85">
        <f>IF(N322=0,0,IF(N322&lt;BondCalculator!$B$14+BondCalculator!$B$15,N322+L323,BondCalculator!$B$14+BondCalculator!$B$15))</f>
        <v>0</v>
      </c>
      <c r="L323" s="85">
        <f>J323*BondCalculator!$B$7/12</f>
        <v>0</v>
      </c>
      <c r="M323" s="85">
        <f t="shared" si="47"/>
        <v>0</v>
      </c>
      <c r="N323" s="85">
        <f t="shared" si="48"/>
        <v>0</v>
      </c>
      <c r="P323" s="85">
        <f t="shared" si="49"/>
        <v>0</v>
      </c>
      <c r="Q323" s="86">
        <f>-PV(BondCalculator!$B$10/12,B323,0,1,0)</f>
        <v>0.2939570688195735</v>
      </c>
      <c r="S323" s="87">
        <f t="shared" si="41"/>
        <v>0</v>
      </c>
    </row>
    <row r="324" spans="1:19" ht="15" customHeight="1">
      <c r="A324" s="82" t="s">
        <v>123</v>
      </c>
      <c r="B324" s="93">
        <v>321</v>
      </c>
      <c r="C324" s="117">
        <f t="shared" si="44"/>
        <v>0</v>
      </c>
      <c r="D324" s="117">
        <f>IF(G323=0,0,IF(G323&lt;BondCalculator!$B$13,G323+E324,BondCalculator!$B$13))</f>
        <v>0</v>
      </c>
      <c r="E324" s="117">
        <f>C324*BondCalculator!$B$7/12</f>
        <v>0</v>
      </c>
      <c r="F324" s="117">
        <f t="shared" si="45"/>
        <v>0</v>
      </c>
      <c r="G324" s="117">
        <f t="shared" si="42"/>
        <v>0</v>
      </c>
      <c r="H324" s="94">
        <f t="shared" si="43"/>
        <v>0</v>
      </c>
      <c r="J324" s="85">
        <f t="shared" si="46"/>
        <v>0</v>
      </c>
      <c r="K324" s="85">
        <f>IF(N323=0,0,IF(N323&lt;BondCalculator!$B$14+BondCalculator!$B$15,N323+L324,BondCalculator!$B$14+BondCalculator!$B$15))</f>
        <v>0</v>
      </c>
      <c r="L324" s="85">
        <f>J324*BondCalculator!$B$7/12</f>
        <v>0</v>
      </c>
      <c r="M324" s="85">
        <f t="shared" si="47"/>
        <v>0</v>
      </c>
      <c r="N324" s="85">
        <f t="shared" si="48"/>
        <v>0</v>
      </c>
      <c r="P324" s="85">
        <f t="shared" si="49"/>
        <v>0</v>
      </c>
      <c r="Q324" s="86">
        <f>-PV(BondCalculator!$B$10/12,B324,0,1,0)</f>
        <v>0.29283453642992546</v>
      </c>
      <c r="S324" s="87">
        <f aca="true" t="shared" si="50" ref="S324:S363">P324*Q324</f>
        <v>0</v>
      </c>
    </row>
    <row r="325" spans="1:19" ht="15" customHeight="1">
      <c r="A325" s="82" t="s">
        <v>123</v>
      </c>
      <c r="B325" s="93">
        <v>322</v>
      </c>
      <c r="C325" s="117">
        <f t="shared" si="44"/>
        <v>0</v>
      </c>
      <c r="D325" s="117">
        <f>IF(G324=0,0,IF(G324&lt;BondCalculator!$B$13,G324+E325,BondCalculator!$B$13))</f>
        <v>0</v>
      </c>
      <c r="E325" s="117">
        <f>C325*BondCalculator!$B$7/12</f>
        <v>0</v>
      </c>
      <c r="F325" s="117">
        <f t="shared" si="45"/>
        <v>0</v>
      </c>
      <c r="G325" s="117">
        <f aca="true" t="shared" si="51" ref="G325:G363">IF(ROUND(C325-F325,0)=0,0,C325-F325)</f>
        <v>0</v>
      </c>
      <c r="H325" s="94">
        <f aca="true" t="shared" si="52" ref="H325:H363">G325/$C$4</f>
        <v>0</v>
      </c>
      <c r="J325" s="85">
        <f t="shared" si="46"/>
        <v>0</v>
      </c>
      <c r="K325" s="85">
        <f>IF(N324=0,0,IF(N324&lt;BondCalculator!$B$14+BondCalculator!$B$15,N324+L325,BondCalculator!$B$14+BondCalculator!$B$15))</f>
        <v>0</v>
      </c>
      <c r="L325" s="85">
        <f>J325*BondCalculator!$B$7/12</f>
        <v>0</v>
      </c>
      <c r="M325" s="85">
        <f t="shared" si="47"/>
        <v>0</v>
      </c>
      <c r="N325" s="85">
        <f t="shared" si="48"/>
        <v>0</v>
      </c>
      <c r="P325" s="85">
        <f t="shared" si="49"/>
        <v>0</v>
      </c>
      <c r="Q325" s="86">
        <f>-PV(BondCalculator!$B$10/12,B325,0,1,0)</f>
        <v>0.2917162906491039</v>
      </c>
      <c r="S325" s="87">
        <f t="shared" si="50"/>
        <v>0</v>
      </c>
    </row>
    <row r="326" spans="1:19" ht="15" customHeight="1">
      <c r="A326" s="82" t="s">
        <v>123</v>
      </c>
      <c r="B326" s="93">
        <v>323</v>
      </c>
      <c r="C326" s="117">
        <f aca="true" t="shared" si="53" ref="C326:C363">IF(ROUND(G325,0)=0,0,G325)</f>
        <v>0</v>
      </c>
      <c r="D326" s="117">
        <f>IF(G325=0,0,IF(G325&lt;BondCalculator!$B$13,G325+E326,BondCalculator!$B$13))</f>
        <v>0</v>
      </c>
      <c r="E326" s="117">
        <f>C326*BondCalculator!$B$7/12</f>
        <v>0</v>
      </c>
      <c r="F326" s="117">
        <f t="shared" si="45"/>
        <v>0</v>
      </c>
      <c r="G326" s="117">
        <f t="shared" si="51"/>
        <v>0</v>
      </c>
      <c r="H326" s="94">
        <f t="shared" si="52"/>
        <v>0</v>
      </c>
      <c r="J326" s="85">
        <f t="shared" si="46"/>
        <v>0</v>
      </c>
      <c r="K326" s="85">
        <f>IF(N325=0,0,IF(N325&lt;BondCalculator!$B$14+BondCalculator!$B$15,N325+L326,BondCalculator!$B$14+BondCalculator!$B$15))</f>
        <v>0</v>
      </c>
      <c r="L326" s="85">
        <f>J326*BondCalculator!$B$7/12</f>
        <v>0</v>
      </c>
      <c r="M326" s="85">
        <f t="shared" si="47"/>
        <v>0</v>
      </c>
      <c r="N326" s="85">
        <f t="shared" si="48"/>
        <v>0</v>
      </c>
      <c r="P326" s="85">
        <f t="shared" si="49"/>
        <v>0</v>
      </c>
      <c r="Q326" s="86">
        <f>-PV(BondCalculator!$B$10/12,B326,0,1,0)</f>
        <v>0.29060231510785717</v>
      </c>
      <c r="S326" s="87">
        <f t="shared" si="50"/>
        <v>0</v>
      </c>
    </row>
    <row r="327" spans="1:19" ht="15" customHeight="1">
      <c r="A327" s="82" t="s">
        <v>123</v>
      </c>
      <c r="B327" s="93">
        <v>324</v>
      </c>
      <c r="C327" s="117">
        <f t="shared" si="53"/>
        <v>0</v>
      </c>
      <c r="D327" s="117">
        <f>IF(G326=0,0,IF(G326&lt;BondCalculator!$B$13,G326+E327,BondCalculator!$B$13))</f>
        <v>0</v>
      </c>
      <c r="E327" s="117">
        <f>C327*BondCalculator!$B$7/12</f>
        <v>0</v>
      </c>
      <c r="F327" s="117">
        <f t="shared" si="45"/>
        <v>0</v>
      </c>
      <c r="G327" s="117">
        <f t="shared" si="51"/>
        <v>0</v>
      </c>
      <c r="H327" s="94">
        <f t="shared" si="52"/>
        <v>0</v>
      </c>
      <c r="J327" s="85">
        <f t="shared" si="46"/>
        <v>0</v>
      </c>
      <c r="K327" s="85">
        <f>IF(N326=0,0,IF(N326&lt;BondCalculator!$B$14+BondCalculator!$B$15,N326+L327,BondCalculator!$B$14+BondCalculator!$B$15))</f>
        <v>0</v>
      </c>
      <c r="L327" s="85">
        <f>J327*BondCalculator!$B$7/12</f>
        <v>0</v>
      </c>
      <c r="M327" s="85">
        <f t="shared" si="47"/>
        <v>0</v>
      </c>
      <c r="N327" s="85">
        <f t="shared" si="48"/>
        <v>0</v>
      </c>
      <c r="P327" s="85">
        <f t="shared" si="49"/>
        <v>0</v>
      </c>
      <c r="Q327" s="86">
        <f>-PV(BondCalculator!$B$10/12,B327,0,1,0)</f>
        <v>0.2894925934994427</v>
      </c>
      <c r="S327" s="87">
        <f t="shared" si="50"/>
        <v>0</v>
      </c>
    </row>
    <row r="328" spans="1:19" ht="15" customHeight="1">
      <c r="A328" s="82" t="s">
        <v>124</v>
      </c>
      <c r="B328" s="93">
        <v>325</v>
      </c>
      <c r="C328" s="117">
        <f t="shared" si="53"/>
        <v>0</v>
      </c>
      <c r="D328" s="117">
        <f>IF(G327=0,0,IF(G327&lt;BondCalculator!$B$13,G327+E328,BondCalculator!$B$13))</f>
        <v>0</v>
      </c>
      <c r="E328" s="117">
        <f>C328*BondCalculator!$B$7/12</f>
        <v>0</v>
      </c>
      <c r="F328" s="117">
        <f t="shared" si="45"/>
        <v>0</v>
      </c>
      <c r="G328" s="117">
        <f t="shared" si="51"/>
        <v>0</v>
      </c>
      <c r="H328" s="94">
        <f t="shared" si="52"/>
        <v>0</v>
      </c>
      <c r="J328" s="85">
        <f t="shared" si="46"/>
        <v>0</v>
      </c>
      <c r="K328" s="85">
        <f>IF(N327=0,0,IF(N327&lt;BondCalculator!$B$14+BondCalculator!$B$15,N327+L328,BondCalculator!$B$14+BondCalculator!$B$15))</f>
        <v>0</v>
      </c>
      <c r="L328" s="85">
        <f>J328*BondCalculator!$B$7/12</f>
        <v>0</v>
      </c>
      <c r="M328" s="85">
        <f t="shared" si="47"/>
        <v>0</v>
      </c>
      <c r="N328" s="85">
        <f t="shared" si="48"/>
        <v>0</v>
      </c>
      <c r="P328" s="85">
        <f t="shared" si="49"/>
        <v>0</v>
      </c>
      <c r="Q328" s="86">
        <f>-PV(BondCalculator!$B$10/12,B328,0,1,0)</f>
        <v>0.2883871095793883</v>
      </c>
      <c r="S328" s="87">
        <f t="shared" si="50"/>
        <v>0</v>
      </c>
    </row>
    <row r="329" spans="1:19" ht="15" customHeight="1">
      <c r="A329" s="82" t="s">
        <v>124</v>
      </c>
      <c r="B329" s="93">
        <v>326</v>
      </c>
      <c r="C329" s="117">
        <f t="shared" si="53"/>
        <v>0</v>
      </c>
      <c r="D329" s="117">
        <f>IF(G328=0,0,IF(G328&lt;BondCalculator!$B$13,G328+E329,BondCalculator!$B$13))</f>
        <v>0</v>
      </c>
      <c r="E329" s="117">
        <f>C329*BondCalculator!$B$7/12</f>
        <v>0</v>
      </c>
      <c r="F329" s="117">
        <f t="shared" si="45"/>
        <v>0</v>
      </c>
      <c r="G329" s="117">
        <f t="shared" si="51"/>
        <v>0</v>
      </c>
      <c r="H329" s="94">
        <f t="shared" si="52"/>
        <v>0</v>
      </c>
      <c r="J329" s="85">
        <f t="shared" si="46"/>
        <v>0</v>
      </c>
      <c r="K329" s="85">
        <f>IF(N328=0,0,IF(N328&lt;BondCalculator!$B$14+BondCalculator!$B$15,N328+L329,BondCalculator!$B$14+BondCalculator!$B$15))</f>
        <v>0</v>
      </c>
      <c r="L329" s="85">
        <f>J329*BondCalculator!$B$7/12</f>
        <v>0</v>
      </c>
      <c r="M329" s="85">
        <f t="shared" si="47"/>
        <v>0</v>
      </c>
      <c r="N329" s="85">
        <f t="shared" si="48"/>
        <v>0</v>
      </c>
      <c r="P329" s="85">
        <f t="shared" si="49"/>
        <v>0</v>
      </c>
      <c r="Q329" s="86">
        <f>-PV(BondCalculator!$B$10/12,B329,0,1,0)</f>
        <v>0.28728584716525485</v>
      </c>
      <c r="S329" s="87">
        <f t="shared" si="50"/>
        <v>0</v>
      </c>
    </row>
    <row r="330" spans="1:19" ht="15" customHeight="1">
      <c r="A330" s="82" t="s">
        <v>124</v>
      </c>
      <c r="B330" s="93">
        <v>327</v>
      </c>
      <c r="C330" s="117">
        <f t="shared" si="53"/>
        <v>0</v>
      </c>
      <c r="D330" s="117">
        <f>IF(G329=0,0,IF(G329&lt;BondCalculator!$B$13,G329+E330,BondCalculator!$B$13))</f>
        <v>0</v>
      </c>
      <c r="E330" s="117">
        <f>C330*BondCalculator!$B$7/12</f>
        <v>0</v>
      </c>
      <c r="F330" s="117">
        <f t="shared" si="45"/>
        <v>0</v>
      </c>
      <c r="G330" s="117">
        <f t="shared" si="51"/>
        <v>0</v>
      </c>
      <c r="H330" s="94">
        <f t="shared" si="52"/>
        <v>0</v>
      </c>
      <c r="J330" s="85">
        <f t="shared" si="46"/>
        <v>0</v>
      </c>
      <c r="K330" s="85">
        <f>IF(N329=0,0,IF(N329&lt;BondCalculator!$B$14+BondCalculator!$B$15,N329+L330,BondCalculator!$B$14+BondCalculator!$B$15))</f>
        <v>0</v>
      </c>
      <c r="L330" s="85">
        <f>J330*BondCalculator!$B$7/12</f>
        <v>0</v>
      </c>
      <c r="M330" s="85">
        <f t="shared" si="47"/>
        <v>0</v>
      </c>
      <c r="N330" s="85">
        <f t="shared" si="48"/>
        <v>0</v>
      </c>
      <c r="P330" s="85">
        <f t="shared" si="49"/>
        <v>0</v>
      </c>
      <c r="Q330" s="86">
        <f>-PV(BondCalculator!$B$10/12,B330,0,1,0)</f>
        <v>0.28618879013639864</v>
      </c>
      <c r="S330" s="87">
        <f t="shared" si="50"/>
        <v>0</v>
      </c>
    </row>
    <row r="331" spans="1:19" ht="15" customHeight="1">
      <c r="A331" s="82" t="s">
        <v>124</v>
      </c>
      <c r="B331" s="93">
        <v>328</v>
      </c>
      <c r="C331" s="117">
        <f t="shared" si="53"/>
        <v>0</v>
      </c>
      <c r="D331" s="117">
        <f>IF(G330=0,0,IF(G330&lt;BondCalculator!$B$13,G330+E331,BondCalculator!$B$13))</f>
        <v>0</v>
      </c>
      <c r="E331" s="117">
        <f>C331*BondCalculator!$B$7/12</f>
        <v>0</v>
      </c>
      <c r="F331" s="117">
        <f t="shared" si="45"/>
        <v>0</v>
      </c>
      <c r="G331" s="117">
        <f t="shared" si="51"/>
        <v>0</v>
      </c>
      <c r="H331" s="94">
        <f t="shared" si="52"/>
        <v>0</v>
      </c>
      <c r="J331" s="85">
        <f t="shared" si="46"/>
        <v>0</v>
      </c>
      <c r="K331" s="85">
        <f>IF(N330=0,0,IF(N330&lt;BondCalculator!$B$14+BondCalculator!$B$15,N330+L331,BondCalculator!$B$14+BondCalculator!$B$15))</f>
        <v>0</v>
      </c>
      <c r="L331" s="85">
        <f>J331*BondCalculator!$B$7/12</f>
        <v>0</v>
      </c>
      <c r="M331" s="85">
        <f t="shared" si="47"/>
        <v>0</v>
      </c>
      <c r="N331" s="85">
        <f t="shared" si="48"/>
        <v>0</v>
      </c>
      <c r="P331" s="85">
        <f t="shared" si="49"/>
        <v>0</v>
      </c>
      <c r="Q331" s="86">
        <f>-PV(BondCalculator!$B$10/12,B331,0,1,0)</f>
        <v>0.285095922433736</v>
      </c>
      <c r="S331" s="87">
        <f t="shared" si="50"/>
        <v>0</v>
      </c>
    </row>
    <row r="332" spans="1:19" ht="15" customHeight="1">
      <c r="A332" s="82" t="s">
        <v>124</v>
      </c>
      <c r="B332" s="93">
        <v>329</v>
      </c>
      <c r="C332" s="117">
        <f t="shared" si="53"/>
        <v>0</v>
      </c>
      <c r="D332" s="117">
        <f>IF(G331=0,0,IF(G331&lt;BondCalculator!$B$13,G331+E332,BondCalculator!$B$13))</f>
        <v>0</v>
      </c>
      <c r="E332" s="117">
        <f>C332*BondCalculator!$B$7/12</f>
        <v>0</v>
      </c>
      <c r="F332" s="117">
        <f t="shared" si="45"/>
        <v>0</v>
      </c>
      <c r="G332" s="117">
        <f t="shared" si="51"/>
        <v>0</v>
      </c>
      <c r="H332" s="94">
        <f t="shared" si="52"/>
        <v>0</v>
      </c>
      <c r="J332" s="85">
        <f t="shared" si="46"/>
        <v>0</v>
      </c>
      <c r="K332" s="85">
        <f>IF(N331=0,0,IF(N331&lt;BondCalculator!$B$14+BondCalculator!$B$15,N331+L332,BondCalculator!$B$14+BondCalculator!$B$15))</f>
        <v>0</v>
      </c>
      <c r="L332" s="85">
        <f>J332*BondCalculator!$B$7/12</f>
        <v>0</v>
      </c>
      <c r="M332" s="85">
        <f t="shared" si="47"/>
        <v>0</v>
      </c>
      <c r="N332" s="85">
        <f t="shared" si="48"/>
        <v>0</v>
      </c>
      <c r="P332" s="85">
        <f t="shared" si="49"/>
        <v>0</v>
      </c>
      <c r="Q332" s="86">
        <f>-PV(BondCalculator!$B$10/12,B332,0,1,0)</f>
        <v>0.2840072280595079</v>
      </c>
      <c r="S332" s="87">
        <f t="shared" si="50"/>
        <v>0</v>
      </c>
    </row>
    <row r="333" spans="1:19" ht="15" customHeight="1">
      <c r="A333" s="82" t="s">
        <v>124</v>
      </c>
      <c r="B333" s="93">
        <v>330</v>
      </c>
      <c r="C333" s="117">
        <f t="shared" si="53"/>
        <v>0</v>
      </c>
      <c r="D333" s="117">
        <f>IF(G332=0,0,IF(G332&lt;BondCalculator!$B$13,G332+E333,BondCalculator!$B$13))</f>
        <v>0</v>
      </c>
      <c r="E333" s="117">
        <f>C333*BondCalculator!$B$7/12</f>
        <v>0</v>
      </c>
      <c r="F333" s="117">
        <f t="shared" si="45"/>
        <v>0</v>
      </c>
      <c r="G333" s="117">
        <f t="shared" si="51"/>
        <v>0</v>
      </c>
      <c r="H333" s="94">
        <f t="shared" si="52"/>
        <v>0</v>
      </c>
      <c r="J333" s="85">
        <f t="shared" si="46"/>
        <v>0</v>
      </c>
      <c r="K333" s="85">
        <f>IF(N332=0,0,IF(N332&lt;BondCalculator!$B$14+BondCalculator!$B$15,N332+L333,BondCalculator!$B$14+BondCalculator!$B$15))</f>
        <v>0</v>
      </c>
      <c r="L333" s="85">
        <f>J333*BondCalculator!$B$7/12</f>
        <v>0</v>
      </c>
      <c r="M333" s="85">
        <f t="shared" si="47"/>
        <v>0</v>
      </c>
      <c r="N333" s="85">
        <f t="shared" si="48"/>
        <v>0</v>
      </c>
      <c r="P333" s="85">
        <f t="shared" si="49"/>
        <v>0</v>
      </c>
      <c r="Q333" s="86">
        <f>-PV(BondCalculator!$B$10/12,B333,0,1,0)</f>
        <v>0.2829226910770459</v>
      </c>
      <c r="S333" s="87">
        <f t="shared" si="50"/>
        <v>0</v>
      </c>
    </row>
    <row r="334" spans="1:19" ht="15" customHeight="1">
      <c r="A334" s="82" t="s">
        <v>124</v>
      </c>
      <c r="B334" s="93">
        <v>331</v>
      </c>
      <c r="C334" s="117">
        <f t="shared" si="53"/>
        <v>0</v>
      </c>
      <c r="D334" s="117">
        <f>IF(G333=0,0,IF(G333&lt;BondCalculator!$B$13,G333+E334,BondCalculator!$B$13))</f>
        <v>0</v>
      </c>
      <c r="E334" s="117">
        <f>C334*BondCalculator!$B$7/12</f>
        <v>0</v>
      </c>
      <c r="F334" s="117">
        <f t="shared" si="45"/>
        <v>0</v>
      </c>
      <c r="G334" s="117">
        <f t="shared" si="51"/>
        <v>0</v>
      </c>
      <c r="H334" s="94">
        <f t="shared" si="52"/>
        <v>0</v>
      </c>
      <c r="J334" s="85">
        <f t="shared" si="46"/>
        <v>0</v>
      </c>
      <c r="K334" s="85">
        <f>IF(N333=0,0,IF(N333&lt;BondCalculator!$B$14+BondCalculator!$B$15,N333+L334,BondCalculator!$B$14+BondCalculator!$B$15))</f>
        <v>0</v>
      </c>
      <c r="L334" s="85">
        <f>J334*BondCalculator!$B$7/12</f>
        <v>0</v>
      </c>
      <c r="M334" s="85">
        <f t="shared" si="47"/>
        <v>0</v>
      </c>
      <c r="N334" s="85">
        <f t="shared" si="48"/>
        <v>0</v>
      </c>
      <c r="P334" s="85">
        <f t="shared" si="49"/>
        <v>0</v>
      </c>
      <c r="Q334" s="86">
        <f>-PV(BondCalculator!$B$10/12,B334,0,1,0)</f>
        <v>0.2818422956105388</v>
      </c>
      <c r="S334" s="87">
        <f t="shared" si="50"/>
        <v>0</v>
      </c>
    </row>
    <row r="335" spans="1:19" ht="15" customHeight="1">
      <c r="A335" s="82" t="s">
        <v>124</v>
      </c>
      <c r="B335" s="93">
        <v>332</v>
      </c>
      <c r="C335" s="117">
        <f t="shared" si="53"/>
        <v>0</v>
      </c>
      <c r="D335" s="117">
        <f>IF(G334=0,0,IF(G334&lt;BondCalculator!$B$13,G334+E335,BondCalculator!$B$13))</f>
        <v>0</v>
      </c>
      <c r="E335" s="117">
        <f>C335*BondCalculator!$B$7/12</f>
        <v>0</v>
      </c>
      <c r="F335" s="117">
        <f t="shared" si="45"/>
        <v>0</v>
      </c>
      <c r="G335" s="117">
        <f t="shared" si="51"/>
        <v>0</v>
      </c>
      <c r="H335" s="94">
        <f t="shared" si="52"/>
        <v>0</v>
      </c>
      <c r="J335" s="85">
        <f t="shared" si="46"/>
        <v>0</v>
      </c>
      <c r="K335" s="85">
        <f>IF(N334=0,0,IF(N334&lt;BondCalculator!$B$14+BondCalculator!$B$15,N334+L335,BondCalculator!$B$14+BondCalculator!$B$15))</f>
        <v>0</v>
      </c>
      <c r="L335" s="85">
        <f>J335*BondCalculator!$B$7/12</f>
        <v>0</v>
      </c>
      <c r="M335" s="85">
        <f t="shared" si="47"/>
        <v>0</v>
      </c>
      <c r="N335" s="85">
        <f t="shared" si="48"/>
        <v>0</v>
      </c>
      <c r="P335" s="85">
        <f t="shared" si="49"/>
        <v>0</v>
      </c>
      <c r="Q335" s="86">
        <f>-PV(BondCalculator!$B$10/12,B335,0,1,0)</f>
        <v>0.2807660258448004</v>
      </c>
      <c r="S335" s="87">
        <f t="shared" si="50"/>
        <v>0</v>
      </c>
    </row>
    <row r="336" spans="1:19" ht="15" customHeight="1">
      <c r="A336" s="82" t="s">
        <v>124</v>
      </c>
      <c r="B336" s="93">
        <v>333</v>
      </c>
      <c r="C336" s="117">
        <f t="shared" si="53"/>
        <v>0</v>
      </c>
      <c r="D336" s="117">
        <f>IF(G335=0,0,IF(G335&lt;BondCalculator!$B$13,G335+E336,BondCalculator!$B$13))</f>
        <v>0</v>
      </c>
      <c r="E336" s="117">
        <f>C336*BondCalculator!$B$7/12</f>
        <v>0</v>
      </c>
      <c r="F336" s="117">
        <f t="shared" si="45"/>
        <v>0</v>
      </c>
      <c r="G336" s="117">
        <f t="shared" si="51"/>
        <v>0</v>
      </c>
      <c r="H336" s="94">
        <f t="shared" si="52"/>
        <v>0</v>
      </c>
      <c r="J336" s="85">
        <f t="shared" si="46"/>
        <v>0</v>
      </c>
      <c r="K336" s="85">
        <f>IF(N335=0,0,IF(N335&lt;BondCalculator!$B$14+BondCalculator!$B$15,N335+L336,BondCalculator!$B$14+BondCalculator!$B$15))</f>
        <v>0</v>
      </c>
      <c r="L336" s="85">
        <f>J336*BondCalculator!$B$7/12</f>
        <v>0</v>
      </c>
      <c r="M336" s="85">
        <f t="shared" si="47"/>
        <v>0</v>
      </c>
      <c r="N336" s="85">
        <f t="shared" si="48"/>
        <v>0</v>
      </c>
      <c r="P336" s="85">
        <f t="shared" si="49"/>
        <v>0</v>
      </c>
      <c r="Q336" s="86">
        <f>-PV(BondCalculator!$B$10/12,B336,0,1,0)</f>
        <v>0.27969386602503776</v>
      </c>
      <c r="S336" s="87">
        <f t="shared" si="50"/>
        <v>0</v>
      </c>
    </row>
    <row r="337" spans="1:19" ht="15" customHeight="1">
      <c r="A337" s="82" t="s">
        <v>124</v>
      </c>
      <c r="B337" s="93">
        <v>334</v>
      </c>
      <c r="C337" s="117">
        <f t="shared" si="53"/>
        <v>0</v>
      </c>
      <c r="D337" s="117">
        <f>IF(G336=0,0,IF(G336&lt;BondCalculator!$B$13,G336+E337,BondCalculator!$B$13))</f>
        <v>0</v>
      </c>
      <c r="E337" s="117">
        <f>C337*BondCalculator!$B$7/12</f>
        <v>0</v>
      </c>
      <c r="F337" s="117">
        <f t="shared" si="45"/>
        <v>0</v>
      </c>
      <c r="G337" s="117">
        <f t="shared" si="51"/>
        <v>0</v>
      </c>
      <c r="H337" s="94">
        <f t="shared" si="52"/>
        <v>0</v>
      </c>
      <c r="J337" s="85">
        <f t="shared" si="46"/>
        <v>0</v>
      </c>
      <c r="K337" s="85">
        <f>IF(N336=0,0,IF(N336&lt;BondCalculator!$B$14+BondCalculator!$B$15,N336+L337,BondCalculator!$B$14+BondCalculator!$B$15))</f>
        <v>0</v>
      </c>
      <c r="L337" s="85">
        <f>J337*BondCalculator!$B$7/12</f>
        <v>0</v>
      </c>
      <c r="M337" s="85">
        <f t="shared" si="47"/>
        <v>0</v>
      </c>
      <c r="N337" s="85">
        <f t="shared" si="48"/>
        <v>0</v>
      </c>
      <c r="P337" s="85">
        <f t="shared" si="49"/>
        <v>0</v>
      </c>
      <c r="Q337" s="86">
        <f>-PV(BondCalculator!$B$10/12,B337,0,1,0)</f>
        <v>0.2786258004566207</v>
      </c>
      <c r="S337" s="87">
        <f t="shared" si="50"/>
        <v>0</v>
      </c>
    </row>
    <row r="338" spans="1:19" ht="15" customHeight="1">
      <c r="A338" s="82" t="s">
        <v>124</v>
      </c>
      <c r="B338" s="93">
        <v>335</v>
      </c>
      <c r="C338" s="117">
        <f t="shared" si="53"/>
        <v>0</v>
      </c>
      <c r="D338" s="117">
        <f>IF(G337=0,0,IF(G337&lt;BondCalculator!$B$13,G337+E338,BondCalculator!$B$13))</f>
        <v>0</v>
      </c>
      <c r="E338" s="117">
        <f>C338*BondCalculator!$B$7/12</f>
        <v>0</v>
      </c>
      <c r="F338" s="117">
        <f t="shared" si="45"/>
        <v>0</v>
      </c>
      <c r="G338" s="117">
        <f t="shared" si="51"/>
        <v>0</v>
      </c>
      <c r="H338" s="94">
        <f t="shared" si="52"/>
        <v>0</v>
      </c>
      <c r="J338" s="85">
        <f t="shared" si="46"/>
        <v>0</v>
      </c>
      <c r="K338" s="85">
        <f>IF(N337=0,0,IF(N337&lt;BondCalculator!$B$14+BondCalculator!$B$15,N337+L338,BondCalculator!$B$14+BondCalculator!$B$15))</f>
        <v>0</v>
      </c>
      <c r="L338" s="85">
        <f>J338*BondCalculator!$B$7/12</f>
        <v>0</v>
      </c>
      <c r="M338" s="85">
        <f t="shared" si="47"/>
        <v>0</v>
      </c>
      <c r="N338" s="85">
        <f t="shared" si="48"/>
        <v>0</v>
      </c>
      <c r="P338" s="85">
        <f t="shared" si="49"/>
        <v>0</v>
      </c>
      <c r="Q338" s="86">
        <f>-PV(BondCalculator!$B$10/12,B338,0,1,0)</f>
        <v>0.2775618135048521</v>
      </c>
      <c r="S338" s="87">
        <f t="shared" si="50"/>
        <v>0</v>
      </c>
    </row>
    <row r="339" spans="1:19" ht="15" customHeight="1">
      <c r="A339" s="82" t="s">
        <v>124</v>
      </c>
      <c r="B339" s="93">
        <v>336</v>
      </c>
      <c r="C339" s="117">
        <f t="shared" si="53"/>
        <v>0</v>
      </c>
      <c r="D339" s="117">
        <f>IF(G338=0,0,IF(G338&lt;BondCalculator!$B$13,G338+E339,BondCalculator!$B$13))</f>
        <v>0</v>
      </c>
      <c r="E339" s="117">
        <f>C339*BondCalculator!$B$7/12</f>
        <v>0</v>
      </c>
      <c r="F339" s="117">
        <f t="shared" si="45"/>
        <v>0</v>
      </c>
      <c r="G339" s="117">
        <f t="shared" si="51"/>
        <v>0</v>
      </c>
      <c r="H339" s="94">
        <f t="shared" si="52"/>
        <v>0</v>
      </c>
      <c r="J339" s="85">
        <f t="shared" si="46"/>
        <v>0</v>
      </c>
      <c r="K339" s="85">
        <f>IF(N338=0,0,IF(N338&lt;BondCalculator!$B$14+BondCalculator!$B$15,N338+L339,BondCalculator!$B$14+BondCalculator!$B$15))</f>
        <v>0</v>
      </c>
      <c r="L339" s="85">
        <f>J339*BondCalculator!$B$7/12</f>
        <v>0</v>
      </c>
      <c r="M339" s="85">
        <f t="shared" si="47"/>
        <v>0</v>
      </c>
      <c r="N339" s="85">
        <f t="shared" si="48"/>
        <v>0</v>
      </c>
      <c r="P339" s="85">
        <f t="shared" si="49"/>
        <v>0</v>
      </c>
      <c r="Q339" s="86">
        <f>-PV(BondCalculator!$B$10/12,B339,0,1,0)</f>
        <v>0.276501889594739</v>
      </c>
      <c r="S339" s="87">
        <f t="shared" si="50"/>
        <v>0</v>
      </c>
    </row>
    <row r="340" spans="1:19" ht="15" customHeight="1">
      <c r="A340" s="82" t="s">
        <v>125</v>
      </c>
      <c r="B340" s="93">
        <v>337</v>
      </c>
      <c r="C340" s="117">
        <f t="shared" si="53"/>
        <v>0</v>
      </c>
      <c r="D340" s="117">
        <f>IF(G339=0,0,IF(G339&lt;BondCalculator!$B$13,G339+E340,BondCalculator!$B$13))</f>
        <v>0</v>
      </c>
      <c r="E340" s="117">
        <f>C340*BondCalculator!$B$7/12</f>
        <v>0</v>
      </c>
      <c r="F340" s="117">
        <f t="shared" si="45"/>
        <v>0</v>
      </c>
      <c r="G340" s="117">
        <f t="shared" si="51"/>
        <v>0</v>
      </c>
      <c r="H340" s="94">
        <f t="shared" si="52"/>
        <v>0</v>
      </c>
      <c r="J340" s="85">
        <f t="shared" si="46"/>
        <v>0</v>
      </c>
      <c r="K340" s="85">
        <f>IF(N339=0,0,IF(N339&lt;BondCalculator!$B$14+BondCalculator!$B$15,N339+L340,BondCalculator!$B$14+BondCalculator!$B$15))</f>
        <v>0</v>
      </c>
      <c r="L340" s="85">
        <f>J340*BondCalculator!$B$7/12</f>
        <v>0</v>
      </c>
      <c r="M340" s="85">
        <f t="shared" si="47"/>
        <v>0</v>
      </c>
      <c r="N340" s="85">
        <f t="shared" si="48"/>
        <v>0</v>
      </c>
      <c r="P340" s="85">
        <f t="shared" si="49"/>
        <v>0</v>
      </c>
      <c r="Q340" s="86">
        <f>-PV(BondCalculator!$B$10/12,B340,0,1,0)</f>
        <v>0.2754460132107644</v>
      </c>
      <c r="S340" s="87">
        <f t="shared" si="50"/>
        <v>0</v>
      </c>
    </row>
    <row r="341" spans="1:19" ht="15" customHeight="1">
      <c r="A341" s="82" t="s">
        <v>125</v>
      </c>
      <c r="B341" s="93">
        <v>338</v>
      </c>
      <c r="C341" s="117">
        <f t="shared" si="53"/>
        <v>0</v>
      </c>
      <c r="D341" s="117">
        <f>IF(G340=0,0,IF(G340&lt;BondCalculator!$B$13,G340+E341,BondCalculator!$B$13))</f>
        <v>0</v>
      </c>
      <c r="E341" s="117">
        <f>C341*BondCalculator!$B$7/12</f>
        <v>0</v>
      </c>
      <c r="F341" s="117">
        <f t="shared" si="45"/>
        <v>0</v>
      </c>
      <c r="G341" s="117">
        <f t="shared" si="51"/>
        <v>0</v>
      </c>
      <c r="H341" s="94">
        <f t="shared" si="52"/>
        <v>0</v>
      </c>
      <c r="J341" s="85">
        <f t="shared" si="46"/>
        <v>0</v>
      </c>
      <c r="K341" s="85">
        <f>IF(N340=0,0,IF(N340&lt;BondCalculator!$B$14+BondCalculator!$B$15,N340+L341,BondCalculator!$B$14+BondCalculator!$B$15))</f>
        <v>0</v>
      </c>
      <c r="L341" s="85">
        <f>J341*BondCalculator!$B$7/12</f>
        <v>0</v>
      </c>
      <c r="M341" s="85">
        <f t="shared" si="47"/>
        <v>0</v>
      </c>
      <c r="N341" s="85">
        <f t="shared" si="48"/>
        <v>0</v>
      </c>
      <c r="P341" s="85">
        <f t="shared" si="49"/>
        <v>0</v>
      </c>
      <c r="Q341" s="86">
        <f>-PV(BondCalculator!$B$10/12,B341,0,1,0)</f>
        <v>0.2743941688966606</v>
      </c>
      <c r="S341" s="87">
        <f t="shared" si="50"/>
        <v>0</v>
      </c>
    </row>
    <row r="342" spans="1:19" ht="15" customHeight="1">
      <c r="A342" s="82" t="s">
        <v>125</v>
      </c>
      <c r="B342" s="93">
        <v>339</v>
      </c>
      <c r="C342" s="117">
        <f t="shared" si="53"/>
        <v>0</v>
      </c>
      <c r="D342" s="117">
        <f>IF(G341=0,0,IF(G341&lt;BondCalculator!$B$13,G341+E342,BondCalculator!$B$13))</f>
        <v>0</v>
      </c>
      <c r="E342" s="117">
        <f>C342*BondCalculator!$B$7/12</f>
        <v>0</v>
      </c>
      <c r="F342" s="117">
        <f t="shared" si="45"/>
        <v>0</v>
      </c>
      <c r="G342" s="117">
        <f t="shared" si="51"/>
        <v>0</v>
      </c>
      <c r="H342" s="94">
        <f t="shared" si="52"/>
        <v>0</v>
      </c>
      <c r="J342" s="85">
        <f t="shared" si="46"/>
        <v>0</v>
      </c>
      <c r="K342" s="85">
        <f>IF(N341=0,0,IF(N341&lt;BondCalculator!$B$14+BondCalculator!$B$15,N341+L342,BondCalculator!$B$14+BondCalculator!$B$15))</f>
        <v>0</v>
      </c>
      <c r="L342" s="85">
        <f>J342*BondCalculator!$B$7/12</f>
        <v>0</v>
      </c>
      <c r="M342" s="85">
        <f t="shared" si="47"/>
        <v>0</v>
      </c>
      <c r="N342" s="85">
        <f t="shared" si="48"/>
        <v>0</v>
      </c>
      <c r="P342" s="85">
        <f t="shared" si="49"/>
        <v>0</v>
      </c>
      <c r="Q342" s="86">
        <f>-PV(BondCalculator!$B$10/12,B342,0,1,0)</f>
        <v>0.27334634125518237</v>
      </c>
      <c r="S342" s="87">
        <f t="shared" si="50"/>
        <v>0</v>
      </c>
    </row>
    <row r="343" spans="1:19" ht="15" customHeight="1">
      <c r="A343" s="82" t="s">
        <v>125</v>
      </c>
      <c r="B343" s="93">
        <v>340</v>
      </c>
      <c r="C343" s="117">
        <f t="shared" si="53"/>
        <v>0</v>
      </c>
      <c r="D343" s="117">
        <f>IF(G342=0,0,IF(G342&lt;BondCalculator!$B$13,G342+E343,BondCalculator!$B$13))</f>
        <v>0</v>
      </c>
      <c r="E343" s="117">
        <f>C343*BondCalculator!$B$7/12</f>
        <v>0</v>
      </c>
      <c r="F343" s="117">
        <f t="shared" si="45"/>
        <v>0</v>
      </c>
      <c r="G343" s="117">
        <f t="shared" si="51"/>
        <v>0</v>
      </c>
      <c r="H343" s="94">
        <f t="shared" si="52"/>
        <v>0</v>
      </c>
      <c r="J343" s="85">
        <f t="shared" si="46"/>
        <v>0</v>
      </c>
      <c r="K343" s="85">
        <f>IF(N342=0,0,IF(N342&lt;BondCalculator!$B$14+BondCalculator!$B$15,N342+L343,BondCalculator!$B$14+BondCalculator!$B$15))</f>
        <v>0</v>
      </c>
      <c r="L343" s="85">
        <f>J343*BondCalculator!$B$7/12</f>
        <v>0</v>
      </c>
      <c r="M343" s="85">
        <f t="shared" si="47"/>
        <v>0</v>
      </c>
      <c r="N343" s="85">
        <f t="shared" si="48"/>
        <v>0</v>
      </c>
      <c r="P343" s="85">
        <f t="shared" si="49"/>
        <v>0</v>
      </c>
      <c r="Q343" s="86">
        <f>-PV(BondCalculator!$B$10/12,B343,0,1,0)</f>
        <v>0.27230251494788216</v>
      </c>
      <c r="S343" s="87">
        <f t="shared" si="50"/>
        <v>0</v>
      </c>
    </row>
    <row r="344" spans="1:19" ht="15" customHeight="1">
      <c r="A344" s="82" t="s">
        <v>125</v>
      </c>
      <c r="B344" s="93">
        <v>341</v>
      </c>
      <c r="C344" s="117">
        <f t="shared" si="53"/>
        <v>0</v>
      </c>
      <c r="D344" s="117">
        <f>IF(G343=0,0,IF(G343&lt;BondCalculator!$B$13,G343+E344,BondCalculator!$B$13))</f>
        <v>0</v>
      </c>
      <c r="E344" s="117">
        <f>C344*BondCalculator!$B$7/12</f>
        <v>0</v>
      </c>
      <c r="F344" s="117">
        <f t="shared" si="45"/>
        <v>0</v>
      </c>
      <c r="G344" s="117">
        <f t="shared" si="51"/>
        <v>0</v>
      </c>
      <c r="H344" s="94">
        <f t="shared" si="52"/>
        <v>0</v>
      </c>
      <c r="J344" s="85">
        <f t="shared" si="46"/>
        <v>0</v>
      </c>
      <c r="K344" s="85">
        <f>IF(N343=0,0,IF(N343&lt;BondCalculator!$B$14+BondCalculator!$B$15,N343+L344,BondCalculator!$B$14+BondCalculator!$B$15))</f>
        <v>0</v>
      </c>
      <c r="L344" s="85">
        <f>J344*BondCalculator!$B$7/12</f>
        <v>0</v>
      </c>
      <c r="M344" s="85">
        <f t="shared" si="47"/>
        <v>0</v>
      </c>
      <c r="N344" s="85">
        <f t="shared" si="48"/>
        <v>0</v>
      </c>
      <c r="P344" s="85">
        <f t="shared" si="49"/>
        <v>0</v>
      </c>
      <c r="Q344" s="86">
        <f>-PV(BondCalculator!$B$10/12,B344,0,1,0)</f>
        <v>0.2712626746948851</v>
      </c>
      <c r="S344" s="87">
        <f t="shared" si="50"/>
        <v>0</v>
      </c>
    </row>
    <row r="345" spans="1:19" ht="15" customHeight="1">
      <c r="A345" s="82" t="s">
        <v>125</v>
      </c>
      <c r="B345" s="93">
        <v>342</v>
      </c>
      <c r="C345" s="117">
        <f t="shared" si="53"/>
        <v>0</v>
      </c>
      <c r="D345" s="117">
        <f>IF(G344=0,0,IF(G344&lt;BondCalculator!$B$13,G344+E345,BondCalculator!$B$13))</f>
        <v>0</v>
      </c>
      <c r="E345" s="117">
        <f>C345*BondCalculator!$B$7/12</f>
        <v>0</v>
      </c>
      <c r="F345" s="117">
        <f t="shared" si="45"/>
        <v>0</v>
      </c>
      <c r="G345" s="117">
        <f t="shared" si="51"/>
        <v>0</v>
      </c>
      <c r="H345" s="94">
        <f t="shared" si="52"/>
        <v>0</v>
      </c>
      <c r="J345" s="85">
        <f t="shared" si="46"/>
        <v>0</v>
      </c>
      <c r="K345" s="85">
        <f>IF(N344=0,0,IF(N344&lt;BondCalculator!$B$14+BondCalculator!$B$15,N344+L345,BondCalculator!$B$14+BondCalculator!$B$15))</f>
        <v>0</v>
      </c>
      <c r="L345" s="85">
        <f>J345*BondCalculator!$B$7/12</f>
        <v>0</v>
      </c>
      <c r="M345" s="85">
        <f t="shared" si="47"/>
        <v>0</v>
      </c>
      <c r="N345" s="85">
        <f t="shared" si="48"/>
        <v>0</v>
      </c>
      <c r="P345" s="85">
        <f t="shared" si="49"/>
        <v>0</v>
      </c>
      <c r="Q345" s="86">
        <f>-PV(BondCalculator!$B$10/12,B345,0,1,0)</f>
        <v>0.2702268052746655</v>
      </c>
      <c r="S345" s="87">
        <f t="shared" si="50"/>
        <v>0</v>
      </c>
    </row>
    <row r="346" spans="1:19" ht="15" customHeight="1">
      <c r="A346" s="82" t="s">
        <v>125</v>
      </c>
      <c r="B346" s="93">
        <v>343</v>
      </c>
      <c r="C346" s="117">
        <f t="shared" si="53"/>
        <v>0</v>
      </c>
      <c r="D346" s="117">
        <f>IF(G345=0,0,IF(G345&lt;BondCalculator!$B$13,G345+E346,BondCalculator!$B$13))</f>
        <v>0</v>
      </c>
      <c r="E346" s="117">
        <f>C346*BondCalculator!$B$7/12</f>
        <v>0</v>
      </c>
      <c r="F346" s="117">
        <f t="shared" si="45"/>
        <v>0</v>
      </c>
      <c r="G346" s="117">
        <f t="shared" si="51"/>
        <v>0</v>
      </c>
      <c r="H346" s="94">
        <f t="shared" si="52"/>
        <v>0</v>
      </c>
      <c r="J346" s="85">
        <f t="shared" si="46"/>
        <v>0</v>
      </c>
      <c r="K346" s="85">
        <f>IF(N345=0,0,IF(N345&lt;BondCalculator!$B$14+BondCalculator!$B$15,N345+L346,BondCalculator!$B$14+BondCalculator!$B$15))</f>
        <v>0</v>
      </c>
      <c r="L346" s="85">
        <f>J346*BondCalculator!$B$7/12</f>
        <v>0</v>
      </c>
      <c r="M346" s="85">
        <f t="shared" si="47"/>
        <v>0</v>
      </c>
      <c r="N346" s="85">
        <f t="shared" si="48"/>
        <v>0</v>
      </c>
      <c r="P346" s="85">
        <f t="shared" si="49"/>
        <v>0</v>
      </c>
      <c r="Q346" s="86">
        <f>-PV(BondCalculator!$B$10/12,B346,0,1,0)</f>
        <v>0.26919489152382425</v>
      </c>
      <c r="S346" s="87">
        <f t="shared" si="50"/>
        <v>0</v>
      </c>
    </row>
    <row r="347" spans="1:19" ht="15" customHeight="1">
      <c r="A347" s="82" t="s">
        <v>125</v>
      </c>
      <c r="B347" s="93">
        <v>344</v>
      </c>
      <c r="C347" s="117">
        <f t="shared" si="53"/>
        <v>0</v>
      </c>
      <c r="D347" s="117">
        <f>IF(G346=0,0,IF(G346&lt;BondCalculator!$B$13,G346+E347,BondCalculator!$B$13))</f>
        <v>0</v>
      </c>
      <c r="E347" s="117">
        <f>C347*BondCalculator!$B$7/12</f>
        <v>0</v>
      </c>
      <c r="F347" s="117">
        <f t="shared" si="45"/>
        <v>0</v>
      </c>
      <c r="G347" s="117">
        <f t="shared" si="51"/>
        <v>0</v>
      </c>
      <c r="H347" s="94">
        <f t="shared" si="52"/>
        <v>0</v>
      </c>
      <c r="J347" s="85">
        <f t="shared" si="46"/>
        <v>0</v>
      </c>
      <c r="K347" s="85">
        <f>IF(N346=0,0,IF(N346&lt;BondCalculator!$B$14+BondCalculator!$B$15,N346+L347,BondCalculator!$B$14+BondCalculator!$B$15))</f>
        <v>0</v>
      </c>
      <c r="L347" s="85">
        <f>J347*BondCalculator!$B$7/12</f>
        <v>0</v>
      </c>
      <c r="M347" s="85">
        <f t="shared" si="47"/>
        <v>0</v>
      </c>
      <c r="N347" s="85">
        <f t="shared" si="48"/>
        <v>0</v>
      </c>
      <c r="P347" s="85">
        <f t="shared" si="49"/>
        <v>0</v>
      </c>
      <c r="Q347" s="86">
        <f>-PV(BondCalculator!$B$10/12,B347,0,1,0)</f>
        <v>0.26816691833686623</v>
      </c>
      <c r="S347" s="87">
        <f t="shared" si="50"/>
        <v>0</v>
      </c>
    </row>
    <row r="348" spans="1:19" ht="15" customHeight="1">
      <c r="A348" s="82" t="s">
        <v>125</v>
      </c>
      <c r="B348" s="93">
        <v>345</v>
      </c>
      <c r="C348" s="117">
        <f t="shared" si="53"/>
        <v>0</v>
      </c>
      <c r="D348" s="117">
        <f>IF(G347=0,0,IF(G347&lt;BondCalculator!$B$13,G347+E348,BondCalculator!$B$13))</f>
        <v>0</v>
      </c>
      <c r="E348" s="117">
        <f>C348*BondCalculator!$B$7/12</f>
        <v>0</v>
      </c>
      <c r="F348" s="117">
        <f t="shared" si="45"/>
        <v>0</v>
      </c>
      <c r="G348" s="117">
        <f t="shared" si="51"/>
        <v>0</v>
      </c>
      <c r="H348" s="94">
        <f t="shared" si="52"/>
        <v>0</v>
      </c>
      <c r="J348" s="85">
        <f t="shared" si="46"/>
        <v>0</v>
      </c>
      <c r="K348" s="85">
        <f>IF(N347=0,0,IF(N347&lt;BondCalculator!$B$14+BondCalculator!$B$15,N347+L348,BondCalculator!$B$14+BondCalculator!$B$15))</f>
        <v>0</v>
      </c>
      <c r="L348" s="85">
        <f>J348*BondCalculator!$B$7/12</f>
        <v>0</v>
      </c>
      <c r="M348" s="85">
        <f t="shared" si="47"/>
        <v>0</v>
      </c>
      <c r="N348" s="85">
        <f t="shared" si="48"/>
        <v>0</v>
      </c>
      <c r="P348" s="85">
        <f t="shared" si="49"/>
        <v>0</v>
      </c>
      <c r="Q348" s="86">
        <f>-PV(BondCalculator!$B$10/12,B348,0,1,0)</f>
        <v>0.26714287066597997</v>
      </c>
      <c r="S348" s="87">
        <f t="shared" si="50"/>
        <v>0</v>
      </c>
    </row>
    <row r="349" spans="1:19" ht="15" customHeight="1">
      <c r="A349" s="82" t="s">
        <v>125</v>
      </c>
      <c r="B349" s="93">
        <v>346</v>
      </c>
      <c r="C349" s="117">
        <f t="shared" si="53"/>
        <v>0</v>
      </c>
      <c r="D349" s="117">
        <f>IF(G348=0,0,IF(G348&lt;BondCalculator!$B$13,G348+E349,BondCalculator!$B$13))</f>
        <v>0</v>
      </c>
      <c r="E349" s="117">
        <f>C349*BondCalculator!$B$7/12</f>
        <v>0</v>
      </c>
      <c r="F349" s="117">
        <f t="shared" si="45"/>
        <v>0</v>
      </c>
      <c r="G349" s="117">
        <f t="shared" si="51"/>
        <v>0</v>
      </c>
      <c r="H349" s="94">
        <f t="shared" si="52"/>
        <v>0</v>
      </c>
      <c r="J349" s="85">
        <f t="shared" si="46"/>
        <v>0</v>
      </c>
      <c r="K349" s="85">
        <f>IF(N348=0,0,IF(N348&lt;BondCalculator!$B$14+BondCalculator!$B$15,N348+L349,BondCalculator!$B$14+BondCalculator!$B$15))</f>
        <v>0</v>
      </c>
      <c r="L349" s="85">
        <f>J349*BondCalculator!$B$7/12</f>
        <v>0</v>
      </c>
      <c r="M349" s="85">
        <f t="shared" si="47"/>
        <v>0</v>
      </c>
      <c r="N349" s="85">
        <f t="shared" si="48"/>
        <v>0</v>
      </c>
      <c r="P349" s="85">
        <f t="shared" si="49"/>
        <v>0</v>
      </c>
      <c r="Q349" s="86">
        <f>-PV(BondCalculator!$B$10/12,B349,0,1,0)</f>
        <v>0.26612273352081683</v>
      </c>
      <c r="S349" s="87">
        <f t="shared" si="50"/>
        <v>0</v>
      </c>
    </row>
    <row r="350" spans="1:19" ht="15" customHeight="1">
      <c r="A350" s="82" t="s">
        <v>125</v>
      </c>
      <c r="B350" s="93">
        <v>347</v>
      </c>
      <c r="C350" s="117">
        <f t="shared" si="53"/>
        <v>0</v>
      </c>
      <c r="D350" s="117">
        <f>IF(G349=0,0,IF(G349&lt;BondCalculator!$B$13,G349+E350,BondCalculator!$B$13))</f>
        <v>0</v>
      </c>
      <c r="E350" s="117">
        <f>C350*BondCalculator!$B$7/12</f>
        <v>0</v>
      </c>
      <c r="F350" s="117">
        <f t="shared" si="45"/>
        <v>0</v>
      </c>
      <c r="G350" s="117">
        <f t="shared" si="51"/>
        <v>0</v>
      </c>
      <c r="H350" s="94">
        <f t="shared" si="52"/>
        <v>0</v>
      </c>
      <c r="J350" s="85">
        <f t="shared" si="46"/>
        <v>0</v>
      </c>
      <c r="K350" s="85">
        <f>IF(N349=0,0,IF(N349&lt;BondCalculator!$B$14+BondCalculator!$B$15,N349+L350,BondCalculator!$B$14+BondCalculator!$B$15))</f>
        <v>0</v>
      </c>
      <c r="L350" s="85">
        <f>J350*BondCalculator!$B$7/12</f>
        <v>0</v>
      </c>
      <c r="M350" s="85">
        <f t="shared" si="47"/>
        <v>0</v>
      </c>
      <c r="N350" s="85">
        <f t="shared" si="48"/>
        <v>0</v>
      </c>
      <c r="P350" s="85">
        <f t="shared" si="49"/>
        <v>0</v>
      </c>
      <c r="Q350" s="86">
        <f>-PV(BondCalculator!$B$10/12,B350,0,1,0)</f>
        <v>0.26510649196827185</v>
      </c>
      <c r="S350" s="87">
        <f t="shared" si="50"/>
        <v>0</v>
      </c>
    </row>
    <row r="351" spans="1:19" ht="15" customHeight="1">
      <c r="A351" s="82" t="s">
        <v>125</v>
      </c>
      <c r="B351" s="93">
        <v>348</v>
      </c>
      <c r="C351" s="117">
        <f t="shared" si="53"/>
        <v>0</v>
      </c>
      <c r="D351" s="117">
        <f>IF(G350=0,0,IF(G350&lt;BondCalculator!$B$13,G350+E351,BondCalculator!$B$13))</f>
        <v>0</v>
      </c>
      <c r="E351" s="117">
        <f>C351*BondCalculator!$B$7/12</f>
        <v>0</v>
      </c>
      <c r="F351" s="117">
        <f t="shared" si="45"/>
        <v>0</v>
      </c>
      <c r="G351" s="117">
        <f t="shared" si="51"/>
        <v>0</v>
      </c>
      <c r="H351" s="94">
        <f t="shared" si="52"/>
        <v>0</v>
      </c>
      <c r="J351" s="85">
        <f t="shared" si="46"/>
        <v>0</v>
      </c>
      <c r="K351" s="85">
        <f>IF(N350=0,0,IF(N350&lt;BondCalculator!$B$14+BondCalculator!$B$15,N350+L351,BondCalculator!$B$14+BondCalculator!$B$15))</f>
        <v>0</v>
      </c>
      <c r="L351" s="85">
        <f>J351*BondCalculator!$B$7/12</f>
        <v>0</v>
      </c>
      <c r="M351" s="85">
        <f t="shared" si="47"/>
        <v>0</v>
      </c>
      <c r="N351" s="85">
        <f t="shared" si="48"/>
        <v>0</v>
      </c>
      <c r="P351" s="85">
        <f t="shared" si="49"/>
        <v>0</v>
      </c>
      <c r="Q351" s="86">
        <f>-PV(BondCalculator!$B$10/12,B351,0,1,0)</f>
        <v>0.2640941311322648</v>
      </c>
      <c r="S351" s="87">
        <f t="shared" si="50"/>
        <v>0</v>
      </c>
    </row>
    <row r="352" spans="1:19" ht="15" customHeight="1">
      <c r="A352" s="82" t="s">
        <v>126</v>
      </c>
      <c r="B352" s="93">
        <v>349</v>
      </c>
      <c r="C352" s="117">
        <f t="shared" si="53"/>
        <v>0</v>
      </c>
      <c r="D352" s="117">
        <f>IF(G351=0,0,IF(G351&lt;BondCalculator!$B$13,G351+E352,BondCalculator!$B$13))</f>
        <v>0</v>
      </c>
      <c r="E352" s="117">
        <f>C352*BondCalculator!$B$7/12</f>
        <v>0</v>
      </c>
      <c r="F352" s="117">
        <f t="shared" si="45"/>
        <v>0</v>
      </c>
      <c r="G352" s="117">
        <f t="shared" si="51"/>
        <v>0</v>
      </c>
      <c r="H352" s="94">
        <f t="shared" si="52"/>
        <v>0</v>
      </c>
      <c r="J352" s="85">
        <f t="shared" si="46"/>
        <v>0</v>
      </c>
      <c r="K352" s="85">
        <f>IF(N351=0,0,IF(N351&lt;BondCalculator!$B$14+BondCalculator!$B$15,N351+L352,BondCalculator!$B$14+BondCalculator!$B$15))</f>
        <v>0</v>
      </c>
      <c r="L352" s="85">
        <f>J352*BondCalculator!$B$7/12</f>
        <v>0</v>
      </c>
      <c r="M352" s="85">
        <f t="shared" si="47"/>
        <v>0</v>
      </c>
      <c r="N352" s="85">
        <f t="shared" si="48"/>
        <v>0</v>
      </c>
      <c r="P352" s="85">
        <f t="shared" si="49"/>
        <v>0</v>
      </c>
      <c r="Q352" s="86">
        <f>-PV(BondCalculator!$B$10/12,B352,0,1,0)</f>
        <v>0.263085636193523</v>
      </c>
      <c r="S352" s="87">
        <f t="shared" si="50"/>
        <v>0</v>
      </c>
    </row>
    <row r="353" spans="1:19" ht="15" customHeight="1">
      <c r="A353" s="82" t="s">
        <v>126</v>
      </c>
      <c r="B353" s="93">
        <v>350</v>
      </c>
      <c r="C353" s="117">
        <f t="shared" si="53"/>
        <v>0</v>
      </c>
      <c r="D353" s="117">
        <f>IF(G352=0,0,IF(G352&lt;BondCalculator!$B$13,G352+E353,BondCalculator!$B$13))</f>
        <v>0</v>
      </c>
      <c r="E353" s="117">
        <f>C353*BondCalculator!$B$7/12</f>
        <v>0</v>
      </c>
      <c r="F353" s="117">
        <f t="shared" si="45"/>
        <v>0</v>
      </c>
      <c r="G353" s="117">
        <f t="shared" si="51"/>
        <v>0</v>
      </c>
      <c r="H353" s="94">
        <f t="shared" si="52"/>
        <v>0</v>
      </c>
      <c r="J353" s="85">
        <f t="shared" si="46"/>
        <v>0</v>
      </c>
      <c r="K353" s="85">
        <f>IF(N352=0,0,IF(N352&lt;BondCalculator!$B$14+BondCalculator!$B$15,N352+L353,BondCalculator!$B$14+BondCalculator!$B$15))</f>
        <v>0</v>
      </c>
      <c r="L353" s="85">
        <f>J353*BondCalculator!$B$7/12</f>
        <v>0</v>
      </c>
      <c r="M353" s="85">
        <f t="shared" si="47"/>
        <v>0</v>
      </c>
      <c r="N353" s="85">
        <f t="shared" si="48"/>
        <v>0</v>
      </c>
      <c r="P353" s="85">
        <f t="shared" si="49"/>
        <v>0</v>
      </c>
      <c r="Q353" s="86">
        <f>-PV(BondCalculator!$B$10/12,B353,0,1,0)</f>
        <v>0.2620809923893637</v>
      </c>
      <c r="S353" s="87">
        <f t="shared" si="50"/>
        <v>0</v>
      </c>
    </row>
    <row r="354" spans="1:19" ht="15" customHeight="1">
      <c r="A354" s="82" t="s">
        <v>126</v>
      </c>
      <c r="B354" s="93">
        <v>351</v>
      </c>
      <c r="C354" s="117">
        <f t="shared" si="53"/>
        <v>0</v>
      </c>
      <c r="D354" s="117">
        <f>IF(G353=0,0,IF(G353&lt;BondCalculator!$B$13,G353+E354,BondCalculator!$B$13))</f>
        <v>0</v>
      </c>
      <c r="E354" s="117">
        <f>C354*BondCalculator!$B$7/12</f>
        <v>0</v>
      </c>
      <c r="F354" s="117">
        <f t="shared" si="45"/>
        <v>0</v>
      </c>
      <c r="G354" s="117">
        <f t="shared" si="51"/>
        <v>0</v>
      </c>
      <c r="H354" s="94">
        <f t="shared" si="52"/>
        <v>0</v>
      </c>
      <c r="J354" s="85">
        <f t="shared" si="46"/>
        <v>0</v>
      </c>
      <c r="K354" s="85">
        <f>IF(N353=0,0,IF(N353&lt;BondCalculator!$B$14+BondCalculator!$B$15,N353+L354,BondCalculator!$B$14+BondCalculator!$B$15))</f>
        <v>0</v>
      </c>
      <c r="L354" s="85">
        <f>J354*BondCalculator!$B$7/12</f>
        <v>0</v>
      </c>
      <c r="M354" s="85">
        <f t="shared" si="47"/>
        <v>0</v>
      </c>
      <c r="N354" s="85">
        <f t="shared" si="48"/>
        <v>0</v>
      </c>
      <c r="P354" s="85">
        <f t="shared" si="49"/>
        <v>0</v>
      </c>
      <c r="Q354" s="86">
        <f>-PV(BondCalculator!$B$10/12,B354,0,1,0)</f>
        <v>0.26108018501347874</v>
      </c>
      <c r="S354" s="87">
        <f t="shared" si="50"/>
        <v>0</v>
      </c>
    </row>
    <row r="355" spans="1:19" ht="15" customHeight="1">
      <c r="A355" s="82" t="s">
        <v>126</v>
      </c>
      <c r="B355" s="93">
        <v>352</v>
      </c>
      <c r="C355" s="117">
        <f t="shared" si="53"/>
        <v>0</v>
      </c>
      <c r="D355" s="117">
        <f>IF(G354=0,0,IF(G354&lt;BondCalculator!$B$13,G354+E355,BondCalculator!$B$13))</f>
        <v>0</v>
      </c>
      <c r="E355" s="117">
        <f>C355*BondCalculator!$B$7/12</f>
        <v>0</v>
      </c>
      <c r="F355" s="117">
        <f t="shared" si="45"/>
        <v>0</v>
      </c>
      <c r="G355" s="117">
        <f t="shared" si="51"/>
        <v>0</v>
      </c>
      <c r="H355" s="94">
        <f t="shared" si="52"/>
        <v>0</v>
      </c>
      <c r="J355" s="85">
        <f t="shared" si="46"/>
        <v>0</v>
      </c>
      <c r="K355" s="85">
        <f>IF(N354=0,0,IF(N354&lt;BondCalculator!$B$14+BondCalculator!$B$15,N354+L355,BondCalculator!$B$14+BondCalculator!$B$15))</f>
        <v>0</v>
      </c>
      <c r="L355" s="85">
        <f>J355*BondCalculator!$B$7/12</f>
        <v>0</v>
      </c>
      <c r="M355" s="85">
        <f t="shared" si="47"/>
        <v>0</v>
      </c>
      <c r="N355" s="85">
        <f t="shared" si="48"/>
        <v>0</v>
      </c>
      <c r="P355" s="85">
        <f t="shared" si="49"/>
        <v>0</v>
      </c>
      <c r="Q355" s="86">
        <f>-PV(BondCalculator!$B$10/12,B355,0,1,0)</f>
        <v>0.26008319941571856</v>
      </c>
      <c r="S355" s="87">
        <f t="shared" si="50"/>
        <v>0</v>
      </c>
    </row>
    <row r="356" spans="1:19" ht="15" customHeight="1">
      <c r="A356" s="82" t="s">
        <v>126</v>
      </c>
      <c r="B356" s="93">
        <v>353</v>
      </c>
      <c r="C356" s="117">
        <f t="shared" si="53"/>
        <v>0</v>
      </c>
      <c r="D356" s="117">
        <f>IF(G355=0,0,IF(G355&lt;BondCalculator!$B$13,G355+E356,BondCalculator!$B$13))</f>
        <v>0</v>
      </c>
      <c r="E356" s="117">
        <f>C356*BondCalculator!$B$7/12</f>
        <v>0</v>
      </c>
      <c r="F356" s="117">
        <f t="shared" si="45"/>
        <v>0</v>
      </c>
      <c r="G356" s="117">
        <f t="shared" si="51"/>
        <v>0</v>
      </c>
      <c r="H356" s="94">
        <f t="shared" si="52"/>
        <v>0</v>
      </c>
      <c r="J356" s="85">
        <f t="shared" si="46"/>
        <v>0</v>
      </c>
      <c r="K356" s="85">
        <f>IF(N355=0,0,IF(N355&lt;BondCalculator!$B$14+BondCalculator!$B$15,N355+L356,BondCalculator!$B$14+BondCalculator!$B$15))</f>
        <v>0</v>
      </c>
      <c r="L356" s="85">
        <f>J356*BondCalculator!$B$7/12</f>
        <v>0</v>
      </c>
      <c r="M356" s="85">
        <f t="shared" si="47"/>
        <v>0</v>
      </c>
      <c r="N356" s="85">
        <f t="shared" si="48"/>
        <v>0</v>
      </c>
      <c r="P356" s="85">
        <f t="shared" si="49"/>
        <v>0</v>
      </c>
      <c r="Q356" s="86">
        <f>-PV(BondCalculator!$B$10/12,B356,0,1,0)</f>
        <v>0.259090021001878</v>
      </c>
      <c r="S356" s="87">
        <f t="shared" si="50"/>
        <v>0</v>
      </c>
    </row>
    <row r="357" spans="1:19" ht="15" customHeight="1">
      <c r="A357" s="82" t="s">
        <v>126</v>
      </c>
      <c r="B357" s="93">
        <v>354</v>
      </c>
      <c r="C357" s="117">
        <f t="shared" si="53"/>
        <v>0</v>
      </c>
      <c r="D357" s="117">
        <f>IF(G356=0,0,IF(G356&lt;BondCalculator!$B$13,G356+E357,BondCalculator!$B$13))</f>
        <v>0</v>
      </c>
      <c r="E357" s="117">
        <f>C357*BondCalculator!$B$7/12</f>
        <v>0</v>
      </c>
      <c r="F357" s="117">
        <f t="shared" si="45"/>
        <v>0</v>
      </c>
      <c r="G357" s="117">
        <f t="shared" si="51"/>
        <v>0</v>
      </c>
      <c r="H357" s="94">
        <f t="shared" si="52"/>
        <v>0</v>
      </c>
      <c r="J357" s="85">
        <f t="shared" si="46"/>
        <v>0</v>
      </c>
      <c r="K357" s="85">
        <f>IF(N356=0,0,IF(N356&lt;BondCalculator!$B$14+BondCalculator!$B$15,N356+L357,BondCalculator!$B$14+BondCalculator!$B$15))</f>
        <v>0</v>
      </c>
      <c r="L357" s="85">
        <f>J357*BondCalculator!$B$7/12</f>
        <v>0</v>
      </c>
      <c r="M357" s="85">
        <f t="shared" si="47"/>
        <v>0</v>
      </c>
      <c r="N357" s="85">
        <f t="shared" si="48"/>
        <v>0</v>
      </c>
      <c r="P357" s="85">
        <f t="shared" si="49"/>
        <v>0</v>
      </c>
      <c r="Q357" s="86">
        <f>-PV(BondCalculator!$B$10/12,B357,0,1,0)</f>
        <v>0.25810063523348303</v>
      </c>
      <c r="S357" s="87">
        <f t="shared" si="50"/>
        <v>0</v>
      </c>
    </row>
    <row r="358" spans="1:19" ht="15" customHeight="1">
      <c r="A358" s="82" t="s">
        <v>126</v>
      </c>
      <c r="B358" s="93">
        <v>355</v>
      </c>
      <c r="C358" s="117">
        <f t="shared" si="53"/>
        <v>0</v>
      </c>
      <c r="D358" s="117">
        <f>IF(G357=0,0,IF(G357&lt;BondCalculator!$B$13,G357+E358,BondCalculator!$B$13))</f>
        <v>0</v>
      </c>
      <c r="E358" s="117">
        <f>C358*BondCalculator!$B$7/12</f>
        <v>0</v>
      </c>
      <c r="F358" s="117">
        <f t="shared" si="45"/>
        <v>0</v>
      </c>
      <c r="G358" s="117">
        <f t="shared" si="51"/>
        <v>0</v>
      </c>
      <c r="H358" s="94">
        <f t="shared" si="52"/>
        <v>0</v>
      </c>
      <c r="J358" s="85">
        <f t="shared" si="46"/>
        <v>0</v>
      </c>
      <c r="K358" s="85">
        <f>IF(N357=0,0,IF(N357&lt;BondCalculator!$B$14+BondCalculator!$B$15,N357+L358,BondCalculator!$B$14+BondCalculator!$B$15))</f>
        <v>0</v>
      </c>
      <c r="L358" s="85">
        <f>J358*BondCalculator!$B$7/12</f>
        <v>0</v>
      </c>
      <c r="M358" s="85">
        <f t="shared" si="47"/>
        <v>0</v>
      </c>
      <c r="N358" s="85">
        <f t="shared" si="48"/>
        <v>0</v>
      </c>
      <c r="P358" s="85">
        <f t="shared" si="49"/>
        <v>0</v>
      </c>
      <c r="Q358" s="86">
        <f>-PV(BondCalculator!$B$10/12,B358,0,1,0)</f>
        <v>0.25711502762757726</v>
      </c>
      <c r="S358" s="87">
        <f t="shared" si="50"/>
        <v>0</v>
      </c>
    </row>
    <row r="359" spans="1:19" ht="15" customHeight="1">
      <c r="A359" s="82" t="s">
        <v>126</v>
      </c>
      <c r="B359" s="93">
        <v>356</v>
      </c>
      <c r="C359" s="117">
        <f t="shared" si="53"/>
        <v>0</v>
      </c>
      <c r="D359" s="117">
        <f>IF(G358=0,0,IF(G358&lt;BondCalculator!$B$13,G358+E359,BondCalculator!$B$13))</f>
        <v>0</v>
      </c>
      <c r="E359" s="117">
        <f>C359*BondCalculator!$B$7/12</f>
        <v>0</v>
      </c>
      <c r="F359" s="117">
        <f t="shared" si="45"/>
        <v>0</v>
      </c>
      <c r="G359" s="117">
        <f t="shared" si="51"/>
        <v>0</v>
      </c>
      <c r="H359" s="94">
        <f t="shared" si="52"/>
        <v>0</v>
      </c>
      <c r="J359" s="85">
        <f t="shared" si="46"/>
        <v>0</v>
      </c>
      <c r="K359" s="85">
        <f>IF(N358=0,0,IF(N358&lt;BondCalculator!$B$14+BondCalculator!$B$15,N358+L359,BondCalculator!$B$14+BondCalculator!$B$15))</f>
        <v>0</v>
      </c>
      <c r="L359" s="85">
        <f>J359*BondCalculator!$B$7/12</f>
        <v>0</v>
      </c>
      <c r="M359" s="85">
        <f t="shared" si="47"/>
        <v>0</v>
      </c>
      <c r="N359" s="85">
        <f t="shared" si="48"/>
        <v>0</v>
      </c>
      <c r="P359" s="85">
        <f t="shared" si="49"/>
        <v>0</v>
      </c>
      <c r="Q359" s="86">
        <f>-PV(BondCalculator!$B$10/12,B359,0,1,0)</f>
        <v>0.25613318375651073</v>
      </c>
      <c r="S359" s="87">
        <f t="shared" si="50"/>
        <v>0</v>
      </c>
    </row>
    <row r="360" spans="1:19" ht="15" customHeight="1">
      <c r="A360" s="82" t="s">
        <v>126</v>
      </c>
      <c r="B360" s="93">
        <v>357</v>
      </c>
      <c r="C360" s="117">
        <f t="shared" si="53"/>
        <v>0</v>
      </c>
      <c r="D360" s="117">
        <f>IF(G359=0,0,IF(G359&lt;BondCalculator!$B$13,G359+E360,BondCalculator!$B$13))</f>
        <v>0</v>
      </c>
      <c r="E360" s="117">
        <f>C360*BondCalculator!$B$7/12</f>
        <v>0</v>
      </c>
      <c r="F360" s="117">
        <f t="shared" si="45"/>
        <v>0</v>
      </c>
      <c r="G360" s="117">
        <f t="shared" si="51"/>
        <v>0</v>
      </c>
      <c r="H360" s="94">
        <f t="shared" si="52"/>
        <v>0</v>
      </c>
      <c r="J360" s="85">
        <f t="shared" si="46"/>
        <v>0</v>
      </c>
      <c r="K360" s="85">
        <f>IF(N359=0,0,IF(N359&lt;BondCalculator!$B$14+BondCalculator!$B$15,N359+L360,BondCalculator!$B$14+BondCalculator!$B$15))</f>
        <v>0</v>
      </c>
      <c r="L360" s="85">
        <f>J360*BondCalculator!$B$7/12</f>
        <v>0</v>
      </c>
      <c r="M360" s="85">
        <f t="shared" si="47"/>
        <v>0</v>
      </c>
      <c r="N360" s="85">
        <f t="shared" si="48"/>
        <v>0</v>
      </c>
      <c r="P360" s="85">
        <f t="shared" si="49"/>
        <v>0</v>
      </c>
      <c r="Q360" s="86">
        <f>-PV(BondCalculator!$B$10/12,B360,0,1,0)</f>
        <v>0.2551550892477278</v>
      </c>
      <c r="S360" s="87">
        <f t="shared" si="50"/>
        <v>0</v>
      </c>
    </row>
    <row r="361" spans="1:19" ht="15" customHeight="1">
      <c r="A361" s="82" t="s">
        <v>126</v>
      </c>
      <c r="B361" s="93">
        <v>358</v>
      </c>
      <c r="C361" s="117">
        <f t="shared" si="53"/>
        <v>0</v>
      </c>
      <c r="D361" s="117">
        <f>IF(G360=0,0,IF(G360&lt;BondCalculator!$B$13,G360+E361,BondCalculator!$B$13))</f>
        <v>0</v>
      </c>
      <c r="E361" s="117">
        <f>C361*BondCalculator!$B$7/12</f>
        <v>0</v>
      </c>
      <c r="F361" s="117">
        <f t="shared" si="45"/>
        <v>0</v>
      </c>
      <c r="G361" s="117">
        <f t="shared" si="51"/>
        <v>0</v>
      </c>
      <c r="H361" s="94">
        <f t="shared" si="52"/>
        <v>0</v>
      </c>
      <c r="J361" s="85">
        <f t="shared" si="46"/>
        <v>0</v>
      </c>
      <c r="K361" s="85">
        <f>IF(N360=0,0,IF(N360&lt;BondCalculator!$B$14+BondCalculator!$B$15,N360+L361,BondCalculator!$B$14+BondCalculator!$B$15))</f>
        <v>0</v>
      </c>
      <c r="L361" s="85">
        <f>J361*BondCalculator!$B$7/12</f>
        <v>0</v>
      </c>
      <c r="M361" s="85">
        <f t="shared" si="47"/>
        <v>0</v>
      </c>
      <c r="N361" s="85">
        <f t="shared" si="48"/>
        <v>0</v>
      </c>
      <c r="P361" s="85">
        <f t="shared" si="49"/>
        <v>0</v>
      </c>
      <c r="Q361" s="86">
        <f>-PV(BondCalculator!$B$10/12,B361,0,1,0)</f>
        <v>0.25418072978355744</v>
      </c>
      <c r="S361" s="87">
        <f t="shared" si="50"/>
        <v>0</v>
      </c>
    </row>
    <row r="362" spans="1:19" ht="15" customHeight="1">
      <c r="A362" s="82" t="s">
        <v>126</v>
      </c>
      <c r="B362" s="93">
        <v>359</v>
      </c>
      <c r="C362" s="117">
        <f t="shared" si="53"/>
        <v>0</v>
      </c>
      <c r="D362" s="117">
        <f>IF(G361=0,0,IF(G361&lt;BondCalculator!$B$13,G361+E362,BondCalculator!$B$13))</f>
        <v>0</v>
      </c>
      <c r="E362" s="117">
        <f>C362*BondCalculator!$B$7/12</f>
        <v>0</v>
      </c>
      <c r="F362" s="117">
        <f t="shared" si="45"/>
        <v>0</v>
      </c>
      <c r="G362" s="117">
        <f t="shared" si="51"/>
        <v>0</v>
      </c>
      <c r="H362" s="94">
        <f t="shared" si="52"/>
        <v>0</v>
      </c>
      <c r="J362" s="85">
        <f t="shared" si="46"/>
        <v>0</v>
      </c>
      <c r="K362" s="85">
        <f>IF(N361=0,0,IF(N361&lt;BondCalculator!$B$14+BondCalculator!$B$15,N361+L362,BondCalculator!$B$14+BondCalculator!$B$15))</f>
        <v>0</v>
      </c>
      <c r="L362" s="85">
        <f>J362*BondCalculator!$B$7/12</f>
        <v>0</v>
      </c>
      <c r="M362" s="85">
        <f t="shared" si="47"/>
        <v>0</v>
      </c>
      <c r="N362" s="85">
        <f t="shared" si="48"/>
        <v>0</v>
      </c>
      <c r="P362" s="85">
        <f t="shared" si="49"/>
        <v>0</v>
      </c>
      <c r="Q362" s="86">
        <f>-PV(BondCalculator!$B$10/12,B362,0,1,0)</f>
        <v>0.25321009110100356</v>
      </c>
      <c r="S362" s="87">
        <f t="shared" si="50"/>
        <v>0</v>
      </c>
    </row>
    <row r="363" spans="1:19" ht="15" customHeight="1">
      <c r="A363" s="82" t="s">
        <v>126</v>
      </c>
      <c r="B363" s="93">
        <v>360</v>
      </c>
      <c r="C363" s="117">
        <f t="shared" si="53"/>
        <v>0</v>
      </c>
      <c r="D363" s="117">
        <f>IF(G362=0,0,IF(G362&lt;BondCalculator!$B$13,G362+E363,BondCalculator!$B$13))</f>
        <v>0</v>
      </c>
      <c r="E363" s="117">
        <f>C363*BondCalculator!$B$7/12</f>
        <v>0</v>
      </c>
      <c r="F363" s="117">
        <f t="shared" si="45"/>
        <v>0</v>
      </c>
      <c r="G363" s="117">
        <f t="shared" si="51"/>
        <v>0</v>
      </c>
      <c r="H363" s="94">
        <f t="shared" si="52"/>
        <v>0</v>
      </c>
      <c r="J363" s="85">
        <f t="shared" si="46"/>
        <v>0</v>
      </c>
      <c r="K363" s="85">
        <f>IF(N362=0,0,IF(N362&lt;BondCalculator!$B$14+BondCalculator!$B$15,N362+L363,BondCalculator!$B$14+BondCalculator!$B$15))</f>
        <v>0</v>
      </c>
      <c r="L363" s="85">
        <f>J363*BondCalculator!$B$7/12</f>
        <v>0</v>
      </c>
      <c r="M363" s="85">
        <f t="shared" si="47"/>
        <v>0</v>
      </c>
      <c r="N363" s="85">
        <f t="shared" si="48"/>
        <v>0</v>
      </c>
      <c r="P363" s="85">
        <f t="shared" si="49"/>
        <v>0</v>
      </c>
      <c r="Q363" s="86">
        <f>-PV(BondCalculator!$B$10/12,B363,0,1,0)</f>
        <v>0.25224315899153604</v>
      </c>
      <c r="S363" s="87">
        <f t="shared" si="50"/>
        <v>0</v>
      </c>
    </row>
    <row r="364" spans="5:19" ht="15" customHeight="1">
      <c r="E364" s="83">
        <f>SUM(E4:E363)</f>
        <v>604890.1645013003</v>
      </c>
      <c r="L364" s="95">
        <f>SUM(L4:L363)</f>
        <v>604890.1645013003</v>
      </c>
      <c r="P364" s="85">
        <f>SUM(P4:P363)</f>
        <v>0</v>
      </c>
      <c r="S364" s="87">
        <f>SUM(S4:S363)</f>
        <v>0</v>
      </c>
    </row>
  </sheetData>
  <sheetProtection/>
  <printOptions/>
  <pageMargins left="0.75" right="0.75" top="1" bottom="1" header="0.5" footer="0.5"/>
  <pageSetup fitToHeight="6" fitToWidth="1" horizontalDpi="600" verticalDpi="600" orientation="portrait" paperSize="9" scale="77"/>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89"/>
  <sheetViews>
    <sheetView zoomScale="130" zoomScaleNormal="130" zoomScalePageLayoutView="0" workbookViewId="0" topLeftCell="B1">
      <pane ySplit="1" topLeftCell="A2" activePane="bottomLeft" state="frozen"/>
      <selection pane="topLeft" activeCell="A1" sqref="A1"/>
      <selection pane="bottomLeft" activeCell="F8" sqref="F8"/>
    </sheetView>
  </sheetViews>
  <sheetFormatPr defaultColWidth="11.57421875" defaultRowHeight="15" customHeight="1"/>
  <cols>
    <col min="1" max="1" width="5.7109375" style="29" customWidth="1"/>
    <col min="2" max="2" width="46.28125" style="29" bestFit="1" customWidth="1"/>
    <col min="3" max="3" width="15.7109375" style="54" customWidth="1"/>
    <col min="4" max="4" width="5.7109375" style="68" customWidth="1"/>
    <col min="5" max="5" width="32.140625" style="29" bestFit="1" customWidth="1"/>
    <col min="6" max="6" width="15.7109375" style="54" customWidth="1"/>
    <col min="7" max="7" width="5.7109375" style="51" customWidth="1"/>
    <col min="8" max="8" width="25.28125" style="29" bestFit="1" customWidth="1"/>
    <col min="9" max="9" width="15.7109375" style="39" customWidth="1"/>
    <col min="10" max="10" width="5.7109375" style="29" customWidth="1"/>
    <col min="11" max="16384" width="11.421875" style="29" customWidth="1"/>
  </cols>
  <sheetData>
    <row r="1" spans="2:10" s="23" customFormat="1" ht="15.75">
      <c r="B1" s="22" t="s">
        <v>82</v>
      </c>
      <c r="C1" s="22"/>
      <c r="D1" s="22"/>
      <c r="E1" s="22"/>
      <c r="F1" s="22"/>
      <c r="G1" s="22"/>
      <c r="I1" s="12"/>
      <c r="J1" s="98" t="s">
        <v>206</v>
      </c>
    </row>
    <row r="2" spans="2:10" ht="15" customHeight="1">
      <c r="B2" s="24" t="s">
        <v>10</v>
      </c>
      <c r="C2" s="25"/>
      <c r="D2" s="26"/>
      <c r="E2" s="27" t="s">
        <v>11</v>
      </c>
      <c r="F2" s="25"/>
      <c r="G2" s="28"/>
      <c r="H2" s="24" t="s">
        <v>69</v>
      </c>
      <c r="I2" s="25"/>
      <c r="J2" s="28"/>
    </row>
    <row r="3" spans="2:10" ht="15" customHeight="1">
      <c r="B3" s="30" t="s">
        <v>12</v>
      </c>
      <c r="C3" s="13">
        <v>48000</v>
      </c>
      <c r="D3" s="31">
        <v>1</v>
      </c>
      <c r="E3" s="32" t="s">
        <v>13</v>
      </c>
      <c r="F3" s="13">
        <v>13000</v>
      </c>
      <c r="G3" s="33">
        <v>18</v>
      </c>
      <c r="H3" s="34" t="s">
        <v>71</v>
      </c>
      <c r="I3" s="13">
        <v>0</v>
      </c>
      <c r="J3" s="33">
        <v>42</v>
      </c>
    </row>
    <row r="4" spans="2:10" ht="15" customHeight="1">
      <c r="B4" s="30" t="s">
        <v>14</v>
      </c>
      <c r="C4" s="13">
        <v>0</v>
      </c>
      <c r="D4" s="31">
        <v>2</v>
      </c>
      <c r="E4" s="35" t="s">
        <v>15</v>
      </c>
      <c r="F4" s="13">
        <v>1000</v>
      </c>
      <c r="G4" s="33">
        <v>19</v>
      </c>
      <c r="H4" s="34" t="s">
        <v>73</v>
      </c>
      <c r="I4" s="13">
        <v>0</v>
      </c>
      <c r="J4" s="33">
        <v>43</v>
      </c>
    </row>
    <row r="5" spans="2:10" ht="15" customHeight="1">
      <c r="B5" s="30" t="s">
        <v>16</v>
      </c>
      <c r="C5" s="13">
        <v>0</v>
      </c>
      <c r="D5" s="31">
        <v>3</v>
      </c>
      <c r="E5" s="30" t="s">
        <v>17</v>
      </c>
      <c r="F5" s="13">
        <v>0</v>
      </c>
      <c r="G5" s="33">
        <v>20</v>
      </c>
      <c r="H5" s="34" t="s">
        <v>74</v>
      </c>
      <c r="I5" s="13">
        <v>0</v>
      </c>
      <c r="J5" s="33">
        <v>44</v>
      </c>
    </row>
    <row r="6" spans="2:10" ht="15" customHeight="1">
      <c r="B6" s="30" t="s">
        <v>19</v>
      </c>
      <c r="C6" s="13">
        <v>0</v>
      </c>
      <c r="D6" s="31">
        <v>4</v>
      </c>
      <c r="E6" s="30" t="s">
        <v>20</v>
      </c>
      <c r="F6" s="13">
        <v>0</v>
      </c>
      <c r="G6" s="33">
        <v>21</v>
      </c>
      <c r="H6" s="34" t="s">
        <v>75</v>
      </c>
      <c r="I6" s="13">
        <v>0</v>
      </c>
      <c r="J6" s="33">
        <v>45</v>
      </c>
    </row>
    <row r="7" spans="2:10" ht="15" customHeight="1">
      <c r="B7" s="30" t="s">
        <v>21</v>
      </c>
      <c r="C7" s="13">
        <v>0</v>
      </c>
      <c r="D7" s="31">
        <v>5</v>
      </c>
      <c r="E7" s="32" t="s">
        <v>22</v>
      </c>
      <c r="F7" s="13">
        <v>0</v>
      </c>
      <c r="G7" s="33">
        <v>22</v>
      </c>
      <c r="H7" s="34" t="s">
        <v>76</v>
      </c>
      <c r="I7" s="13">
        <v>0</v>
      </c>
      <c r="J7" s="33">
        <v>46</v>
      </c>
    </row>
    <row r="8" spans="2:10" ht="15" customHeight="1">
      <c r="B8" s="24" t="s">
        <v>186</v>
      </c>
      <c r="C8" s="36">
        <f>SUM(C3:C7)</f>
        <v>48000</v>
      </c>
      <c r="D8" s="31"/>
      <c r="E8" s="32" t="s">
        <v>157</v>
      </c>
      <c r="F8" s="13">
        <v>0</v>
      </c>
      <c r="G8" s="33">
        <v>23</v>
      </c>
      <c r="H8" s="34" t="s">
        <v>77</v>
      </c>
      <c r="I8" s="13">
        <v>0</v>
      </c>
      <c r="J8" s="33">
        <v>47</v>
      </c>
    </row>
    <row r="9" spans="2:10" ht="15" customHeight="1">
      <c r="B9" s="24" t="s">
        <v>24</v>
      </c>
      <c r="C9" s="25"/>
      <c r="D9" s="31"/>
      <c r="E9" s="30" t="s">
        <v>25</v>
      </c>
      <c r="F9" s="13">
        <v>0</v>
      </c>
      <c r="G9" s="33">
        <v>24</v>
      </c>
      <c r="H9" s="37" t="s">
        <v>78</v>
      </c>
      <c r="I9" s="13">
        <v>0</v>
      </c>
      <c r="J9" s="33">
        <v>48</v>
      </c>
    </row>
    <row r="10" spans="2:10" ht="15" customHeight="1">
      <c r="B10" s="30" t="s">
        <v>26</v>
      </c>
      <c r="C10" s="13"/>
      <c r="D10" s="31">
        <v>6</v>
      </c>
      <c r="E10" s="30" t="s">
        <v>27</v>
      </c>
      <c r="F10" s="13">
        <v>0</v>
      </c>
      <c r="G10" s="33">
        <v>25</v>
      </c>
      <c r="H10" s="37" t="s">
        <v>21</v>
      </c>
      <c r="I10" s="13">
        <v>0</v>
      </c>
      <c r="J10" s="33">
        <v>49</v>
      </c>
    </row>
    <row r="11" spans="2:10" ht="15" customHeight="1">
      <c r="B11" s="30" t="s">
        <v>28</v>
      </c>
      <c r="C11" s="13">
        <v>3000</v>
      </c>
      <c r="D11" s="31">
        <v>7</v>
      </c>
      <c r="E11" s="32" t="s">
        <v>29</v>
      </c>
      <c r="F11" s="13">
        <v>0</v>
      </c>
      <c r="G11" s="33">
        <v>26</v>
      </c>
      <c r="H11" s="38" t="s">
        <v>79</v>
      </c>
      <c r="I11" s="36">
        <f>SUM(I3:I10)</f>
        <v>0</v>
      </c>
      <c r="J11" s="28"/>
    </row>
    <row r="12" spans="2:7" ht="15" customHeight="1">
      <c r="B12" s="30" t="s">
        <v>30</v>
      </c>
      <c r="C12" s="13">
        <v>7250</v>
      </c>
      <c r="D12" s="31">
        <v>8</v>
      </c>
      <c r="E12" s="30" t="s">
        <v>31</v>
      </c>
      <c r="F12" s="13">
        <v>0</v>
      </c>
      <c r="G12" s="33">
        <v>27</v>
      </c>
    </row>
    <row r="13" spans="2:7" ht="15" customHeight="1">
      <c r="B13" s="30" t="s">
        <v>33</v>
      </c>
      <c r="C13" s="13">
        <v>6250</v>
      </c>
      <c r="D13" s="31">
        <v>9</v>
      </c>
      <c r="E13" s="32" t="s">
        <v>34</v>
      </c>
      <c r="F13" s="13">
        <v>0</v>
      </c>
      <c r="G13" s="33">
        <v>28</v>
      </c>
    </row>
    <row r="14" spans="2:7" ht="15" customHeight="1">
      <c r="B14" s="30" t="s">
        <v>36</v>
      </c>
      <c r="C14" s="13">
        <v>0</v>
      </c>
      <c r="D14" s="31">
        <v>10</v>
      </c>
      <c r="E14" s="32" t="s">
        <v>37</v>
      </c>
      <c r="F14" s="13">
        <v>0</v>
      </c>
      <c r="G14" s="33">
        <v>29</v>
      </c>
    </row>
    <row r="15" spans="2:7" ht="15" customHeight="1">
      <c r="B15" s="30" t="s">
        <v>38</v>
      </c>
      <c r="C15" s="13">
        <v>0</v>
      </c>
      <c r="D15" s="31">
        <v>11</v>
      </c>
      <c r="E15" s="32" t="s">
        <v>39</v>
      </c>
      <c r="F15" s="13">
        <v>0</v>
      </c>
      <c r="G15" s="33">
        <v>30</v>
      </c>
    </row>
    <row r="16" spans="2:7" ht="15" customHeight="1">
      <c r="B16" s="30" t="s">
        <v>41</v>
      </c>
      <c r="C16" s="13">
        <v>0</v>
      </c>
      <c r="D16" s="31">
        <v>12</v>
      </c>
      <c r="E16" s="32" t="s">
        <v>42</v>
      </c>
      <c r="F16" s="13">
        <v>0</v>
      </c>
      <c r="G16" s="33">
        <v>31</v>
      </c>
    </row>
    <row r="17" spans="2:7" ht="15" customHeight="1">
      <c r="B17" s="24" t="s">
        <v>43</v>
      </c>
      <c r="C17" s="36">
        <f>SUM(C10:C16)</f>
        <v>16500</v>
      </c>
      <c r="D17" s="31"/>
      <c r="E17" s="32" t="s">
        <v>44</v>
      </c>
      <c r="F17" s="13">
        <v>0</v>
      </c>
      <c r="G17" s="33">
        <v>32</v>
      </c>
    </row>
    <row r="18" spans="2:7" ht="15" customHeight="1">
      <c r="B18" s="24" t="s">
        <v>46</v>
      </c>
      <c r="C18" s="36">
        <f>SUM(C8,-C17)</f>
        <v>31500</v>
      </c>
      <c r="D18" s="31">
        <v>13</v>
      </c>
      <c r="E18" s="32" t="s">
        <v>47</v>
      </c>
      <c r="F18" s="13">
        <v>0</v>
      </c>
      <c r="G18" s="33">
        <v>33</v>
      </c>
    </row>
    <row r="19" spans="2:7" ht="15" customHeight="1">
      <c r="B19" s="30"/>
      <c r="C19" s="25"/>
      <c r="D19" s="31"/>
      <c r="E19" s="32" t="s">
        <v>49</v>
      </c>
      <c r="F19" s="13">
        <v>0</v>
      </c>
      <c r="G19" s="33">
        <v>34</v>
      </c>
    </row>
    <row r="20" spans="2:7" s="42" customFormat="1" ht="15" customHeight="1">
      <c r="B20" s="24" t="s">
        <v>51</v>
      </c>
      <c r="C20" s="40"/>
      <c r="D20" s="41"/>
      <c r="E20" s="32" t="s">
        <v>52</v>
      </c>
      <c r="F20" s="13">
        <v>0</v>
      </c>
      <c r="G20" s="33">
        <v>35</v>
      </c>
    </row>
    <row r="21" spans="2:7" ht="15" customHeight="1">
      <c r="B21" s="30" t="s">
        <v>53</v>
      </c>
      <c r="C21" s="13">
        <v>0</v>
      </c>
      <c r="D21" s="31">
        <v>14</v>
      </c>
      <c r="E21" s="43" t="s">
        <v>54</v>
      </c>
      <c r="F21" s="13">
        <v>0</v>
      </c>
      <c r="G21" s="33">
        <v>36</v>
      </c>
    </row>
    <row r="22" spans="2:7" ht="15" customHeight="1">
      <c r="B22" s="30" t="s">
        <v>55</v>
      </c>
      <c r="C22" s="13">
        <v>0</v>
      </c>
      <c r="D22" s="31">
        <v>15</v>
      </c>
      <c r="E22" s="43" t="s">
        <v>56</v>
      </c>
      <c r="F22" s="13">
        <v>0</v>
      </c>
      <c r="G22" s="33">
        <v>37</v>
      </c>
    </row>
    <row r="23" spans="2:7" ht="15" customHeight="1">
      <c r="B23" s="30" t="s">
        <v>58</v>
      </c>
      <c r="C23" s="13">
        <v>0</v>
      </c>
      <c r="D23" s="31">
        <v>16</v>
      </c>
      <c r="E23" s="35" t="s">
        <v>59</v>
      </c>
      <c r="F23" s="13">
        <v>0</v>
      </c>
      <c r="G23" s="33">
        <v>38</v>
      </c>
    </row>
    <row r="24" spans="2:7" ht="15" customHeight="1">
      <c r="B24" s="30" t="s">
        <v>61</v>
      </c>
      <c r="C24" s="13">
        <v>0</v>
      </c>
      <c r="D24" s="31">
        <v>17</v>
      </c>
      <c r="E24" s="35" t="s">
        <v>62</v>
      </c>
      <c r="F24" s="13">
        <v>0</v>
      </c>
      <c r="G24" s="33">
        <v>39</v>
      </c>
    </row>
    <row r="25" spans="2:7" ht="15" customHeight="1">
      <c r="B25" s="24" t="s">
        <v>63</v>
      </c>
      <c r="C25" s="36">
        <f>SUM(C21:C24)</f>
        <v>0</v>
      </c>
      <c r="D25" s="31"/>
      <c r="E25" s="35" t="s">
        <v>64</v>
      </c>
      <c r="F25" s="13">
        <v>0</v>
      </c>
      <c r="G25" s="33">
        <v>40</v>
      </c>
    </row>
    <row r="26" spans="2:7" ht="15" customHeight="1">
      <c r="B26" s="30"/>
      <c r="C26" s="25"/>
      <c r="D26" s="26"/>
      <c r="E26" s="35" t="s">
        <v>21</v>
      </c>
      <c r="F26" s="13">
        <v>0</v>
      </c>
      <c r="G26" s="33">
        <v>41</v>
      </c>
    </row>
    <row r="27" spans="2:7" ht="15" customHeight="1">
      <c r="B27" s="30"/>
      <c r="C27" s="25"/>
      <c r="D27" s="26"/>
      <c r="E27" s="27" t="s">
        <v>67</v>
      </c>
      <c r="F27" s="36">
        <f>SUM(F3:F26)</f>
        <v>14000</v>
      </c>
      <c r="G27" s="28"/>
    </row>
    <row r="28" spans="2:7" ht="15" customHeight="1" thickBot="1">
      <c r="B28" s="30"/>
      <c r="C28" s="40"/>
      <c r="D28" s="44"/>
      <c r="E28" s="30"/>
      <c r="F28" s="25"/>
      <c r="G28" s="28"/>
    </row>
    <row r="29" spans="2:10" ht="15" customHeight="1" thickTop="1">
      <c r="B29" s="45"/>
      <c r="C29" s="46"/>
      <c r="D29" s="47"/>
      <c r="E29" s="45"/>
      <c r="F29" s="46"/>
      <c r="G29" s="48"/>
      <c r="H29" s="45"/>
      <c r="I29" s="49"/>
      <c r="J29" s="45"/>
    </row>
    <row r="30" spans="2:9" s="50" customFormat="1" ht="15" customHeight="1">
      <c r="B30" s="24" t="s">
        <v>82</v>
      </c>
      <c r="C30" s="40"/>
      <c r="D30" s="26"/>
      <c r="F30" s="20"/>
      <c r="G30" s="51"/>
      <c r="I30" s="52"/>
    </row>
    <row r="31" spans="2:4" ht="15" customHeight="1">
      <c r="B31" s="30" t="s">
        <v>46</v>
      </c>
      <c r="C31" s="53">
        <f>C18</f>
        <v>31500</v>
      </c>
      <c r="D31" s="26"/>
    </row>
    <row r="32" spans="2:4" ht="15" customHeight="1">
      <c r="B32" s="30" t="s">
        <v>85</v>
      </c>
      <c r="C32" s="53">
        <f>C25</f>
        <v>0</v>
      </c>
      <c r="D32" s="26"/>
    </row>
    <row r="33" spans="2:4" ht="15" customHeight="1">
      <c r="B33" s="32" t="s">
        <v>86</v>
      </c>
      <c r="C33" s="53">
        <f>-F27</f>
        <v>-14000</v>
      </c>
      <c r="D33" s="26"/>
    </row>
    <row r="34" spans="2:4" ht="15" customHeight="1">
      <c r="B34" s="30" t="s">
        <v>87</v>
      </c>
      <c r="C34" s="53">
        <f>-I11</f>
        <v>0</v>
      </c>
      <c r="D34" s="26"/>
    </row>
    <row r="35" spans="2:9" s="23" customFormat="1" ht="15" customHeight="1">
      <c r="B35" s="55" t="s">
        <v>88</v>
      </c>
      <c r="C35" s="56">
        <f>SUM(C31:C34)</f>
        <v>17500</v>
      </c>
      <c r="D35" s="57"/>
      <c r="F35" s="58"/>
      <c r="G35" s="59"/>
      <c r="I35" s="60"/>
    </row>
    <row r="36" ht="15" customHeight="1" thickBot="1">
      <c r="D36" s="26"/>
    </row>
    <row r="37" spans="2:10" ht="15" customHeight="1" thickTop="1">
      <c r="B37" s="45"/>
      <c r="C37" s="46"/>
      <c r="D37" s="47"/>
      <c r="E37" s="45"/>
      <c r="F37" s="46"/>
      <c r="G37" s="48"/>
      <c r="H37" s="45"/>
      <c r="I37" s="49"/>
      <c r="J37" s="45"/>
    </row>
    <row r="38" spans="2:9" s="50" customFormat="1" ht="15" customHeight="1">
      <c r="B38" s="42" t="s">
        <v>89</v>
      </c>
      <c r="C38" s="20"/>
      <c r="D38" s="44"/>
      <c r="E38" s="43"/>
      <c r="F38" s="61"/>
      <c r="G38" s="28"/>
      <c r="I38" s="52"/>
    </row>
    <row r="39" spans="1:7" ht="15" customHeight="1">
      <c r="A39" s="62">
        <v>1</v>
      </c>
      <c r="B39" s="29" t="s">
        <v>158</v>
      </c>
      <c r="D39" s="44"/>
      <c r="E39" s="30"/>
      <c r="F39" s="25"/>
      <c r="G39" s="28"/>
    </row>
    <row r="40" spans="1:7" ht="15" customHeight="1">
      <c r="A40" s="62">
        <v>2</v>
      </c>
      <c r="B40" s="29" t="s">
        <v>159</v>
      </c>
      <c r="D40" s="44"/>
      <c r="E40" s="30"/>
      <c r="F40" s="25"/>
      <c r="G40" s="28"/>
    </row>
    <row r="41" spans="1:7" ht="15" customHeight="1">
      <c r="A41" s="62">
        <v>3</v>
      </c>
      <c r="B41" s="29" t="s">
        <v>18</v>
      </c>
      <c r="D41" s="44"/>
      <c r="E41" s="24"/>
      <c r="F41" s="40"/>
      <c r="G41" s="28"/>
    </row>
    <row r="42" spans="1:7" ht="15" customHeight="1">
      <c r="A42" s="62">
        <v>4</v>
      </c>
      <c r="B42" s="29" t="s">
        <v>160</v>
      </c>
      <c r="D42" s="26"/>
      <c r="E42" s="30"/>
      <c r="F42" s="25"/>
      <c r="G42" s="28"/>
    </row>
    <row r="43" spans="1:7" ht="15" customHeight="1">
      <c r="A43" s="62">
        <v>5</v>
      </c>
      <c r="B43" s="29" t="s">
        <v>23</v>
      </c>
      <c r="D43" s="26"/>
      <c r="E43" s="30"/>
      <c r="F43" s="25"/>
      <c r="G43" s="28"/>
    </row>
    <row r="44" spans="1:7" ht="15" customHeight="1">
      <c r="A44" s="62">
        <v>6</v>
      </c>
      <c r="B44" s="29" t="s">
        <v>161</v>
      </c>
      <c r="D44" s="26"/>
      <c r="E44" s="30"/>
      <c r="F44" s="25"/>
      <c r="G44" s="28"/>
    </row>
    <row r="45" spans="1:7" ht="15" customHeight="1">
      <c r="A45" s="62">
        <v>7</v>
      </c>
      <c r="B45" s="29" t="s">
        <v>162</v>
      </c>
      <c r="D45" s="26"/>
      <c r="E45" s="30"/>
      <c r="F45" s="25"/>
      <c r="G45" s="28"/>
    </row>
    <row r="46" spans="1:7" ht="15" customHeight="1">
      <c r="A46" s="62">
        <v>8</v>
      </c>
      <c r="B46" s="29" t="s">
        <v>163</v>
      </c>
      <c r="D46" s="26"/>
      <c r="E46" s="30"/>
      <c r="F46" s="25"/>
      <c r="G46" s="28"/>
    </row>
    <row r="47" spans="1:7" s="63" customFormat="1" ht="15" customHeight="1">
      <c r="A47" s="62">
        <v>9</v>
      </c>
      <c r="B47" s="29" t="s">
        <v>164</v>
      </c>
      <c r="D47" s="44"/>
      <c r="E47" s="64"/>
      <c r="F47" s="65"/>
      <c r="G47" s="66"/>
    </row>
    <row r="48" spans="1:7" s="63" customFormat="1" ht="15" customHeight="1">
      <c r="A48" s="62">
        <v>10</v>
      </c>
      <c r="B48" s="29" t="s">
        <v>32</v>
      </c>
      <c r="D48" s="44"/>
      <c r="E48" s="64"/>
      <c r="F48" s="65"/>
      <c r="G48" s="66"/>
    </row>
    <row r="49" spans="1:7" s="63" customFormat="1" ht="15" customHeight="1">
      <c r="A49" s="62">
        <v>11</v>
      </c>
      <c r="B49" s="29" t="s">
        <v>35</v>
      </c>
      <c r="D49" s="44"/>
      <c r="E49" s="64"/>
      <c r="F49" s="65"/>
      <c r="G49" s="66"/>
    </row>
    <row r="50" spans="1:7" ht="15" customHeight="1">
      <c r="A50" s="62">
        <v>12</v>
      </c>
      <c r="B50" s="29" t="s">
        <v>165</v>
      </c>
      <c r="D50" s="26"/>
      <c r="E50" s="30"/>
      <c r="F50" s="25"/>
      <c r="G50" s="28"/>
    </row>
    <row r="51" spans="1:7" ht="15" customHeight="1">
      <c r="A51" s="62">
        <v>13</v>
      </c>
      <c r="B51" s="29" t="s">
        <v>40</v>
      </c>
      <c r="D51" s="67"/>
      <c r="E51" s="67"/>
      <c r="F51" s="67"/>
      <c r="G51" s="67"/>
    </row>
    <row r="52" spans="1:7" ht="15" customHeight="1">
      <c r="A52" s="62">
        <v>14</v>
      </c>
      <c r="B52" s="29" t="s">
        <v>166</v>
      </c>
      <c r="D52" s="26"/>
      <c r="E52" s="30"/>
      <c r="F52" s="25"/>
      <c r="G52" s="28"/>
    </row>
    <row r="53" spans="1:2" ht="15" customHeight="1">
      <c r="A53" s="62">
        <v>15</v>
      </c>
      <c r="B53" s="29" t="s">
        <v>45</v>
      </c>
    </row>
    <row r="54" spans="1:2" ht="15" customHeight="1">
      <c r="A54" s="62">
        <v>16</v>
      </c>
      <c r="B54" s="29" t="s">
        <v>48</v>
      </c>
    </row>
    <row r="55" spans="1:2" ht="15" customHeight="1">
      <c r="A55" s="62">
        <v>17</v>
      </c>
      <c r="B55" s="29" t="s">
        <v>50</v>
      </c>
    </row>
    <row r="56" spans="1:2" ht="15" customHeight="1">
      <c r="A56" s="62">
        <v>18</v>
      </c>
      <c r="B56" s="50" t="s">
        <v>167</v>
      </c>
    </row>
    <row r="57" spans="1:2" ht="15" customHeight="1">
      <c r="A57" s="62">
        <v>19</v>
      </c>
      <c r="B57" s="50" t="s">
        <v>168</v>
      </c>
    </row>
    <row r="58" spans="1:2" ht="15" customHeight="1">
      <c r="A58" s="62">
        <v>20</v>
      </c>
      <c r="B58" s="50" t="s">
        <v>57</v>
      </c>
    </row>
    <row r="59" spans="1:2" ht="15" customHeight="1">
      <c r="A59" s="62">
        <v>21</v>
      </c>
      <c r="B59" s="50" t="s">
        <v>60</v>
      </c>
    </row>
    <row r="60" spans="1:2" ht="15" customHeight="1">
      <c r="A60" s="62">
        <v>22</v>
      </c>
      <c r="B60" s="50" t="s">
        <v>169</v>
      </c>
    </row>
    <row r="61" spans="1:2" ht="15" customHeight="1">
      <c r="A61" s="62">
        <v>23</v>
      </c>
      <c r="B61" s="50" t="s">
        <v>65</v>
      </c>
    </row>
    <row r="62" spans="1:2" ht="15" customHeight="1">
      <c r="A62" s="62">
        <v>24</v>
      </c>
      <c r="B62" s="50" t="s">
        <v>66</v>
      </c>
    </row>
    <row r="63" spans="1:2" ht="15" customHeight="1">
      <c r="A63" s="62">
        <v>25</v>
      </c>
      <c r="B63" s="50" t="s">
        <v>68</v>
      </c>
    </row>
    <row r="64" spans="1:2" ht="15" customHeight="1">
      <c r="A64" s="62">
        <v>26</v>
      </c>
      <c r="B64" s="50" t="s">
        <v>170</v>
      </c>
    </row>
    <row r="65" spans="1:2" ht="15" customHeight="1">
      <c r="A65" s="62">
        <v>27</v>
      </c>
      <c r="B65" s="50" t="s">
        <v>70</v>
      </c>
    </row>
    <row r="66" spans="1:2" ht="15" customHeight="1">
      <c r="A66" s="62">
        <v>28</v>
      </c>
      <c r="B66" s="50" t="s">
        <v>72</v>
      </c>
    </row>
    <row r="67" spans="1:2" ht="15" customHeight="1">
      <c r="A67" s="62">
        <v>29</v>
      </c>
      <c r="B67" s="50" t="s">
        <v>171</v>
      </c>
    </row>
    <row r="68" spans="1:2" ht="15" customHeight="1">
      <c r="A68" s="62">
        <v>30</v>
      </c>
      <c r="B68" s="50" t="s">
        <v>172</v>
      </c>
    </row>
    <row r="69" spans="1:2" ht="15" customHeight="1">
      <c r="A69" s="62">
        <v>31</v>
      </c>
      <c r="B69" s="50" t="s">
        <v>140</v>
      </c>
    </row>
    <row r="70" spans="1:2" ht="15" customHeight="1">
      <c r="A70" s="62">
        <v>32</v>
      </c>
      <c r="B70" s="50" t="s">
        <v>141</v>
      </c>
    </row>
    <row r="71" spans="1:2" ht="15" customHeight="1">
      <c r="A71" s="62">
        <v>33</v>
      </c>
      <c r="B71" s="50" t="s">
        <v>173</v>
      </c>
    </row>
    <row r="72" spans="1:2" ht="15" customHeight="1">
      <c r="A72" s="62">
        <v>34</v>
      </c>
      <c r="B72" s="50" t="s">
        <v>142</v>
      </c>
    </row>
    <row r="73" spans="1:2" ht="15" customHeight="1">
      <c r="A73" s="62">
        <v>35</v>
      </c>
      <c r="B73" s="50" t="s">
        <v>174</v>
      </c>
    </row>
    <row r="74" spans="1:2" ht="15" customHeight="1">
      <c r="A74" s="62">
        <v>36</v>
      </c>
      <c r="B74" s="50" t="s">
        <v>80</v>
      </c>
    </row>
    <row r="75" spans="1:2" ht="15" customHeight="1">
      <c r="A75" s="62">
        <v>37</v>
      </c>
      <c r="B75" s="50" t="s">
        <v>81</v>
      </c>
    </row>
    <row r="76" spans="1:2" ht="15" customHeight="1">
      <c r="A76" s="62">
        <v>38</v>
      </c>
      <c r="B76" s="50" t="s">
        <v>83</v>
      </c>
    </row>
    <row r="77" spans="1:2" ht="15" customHeight="1">
      <c r="A77" s="62">
        <v>39</v>
      </c>
      <c r="B77" s="50" t="s">
        <v>84</v>
      </c>
    </row>
    <row r="78" spans="1:2" ht="15" customHeight="1">
      <c r="A78" s="62">
        <v>40</v>
      </c>
      <c r="B78" s="50" t="s">
        <v>175</v>
      </c>
    </row>
    <row r="79" spans="1:2" ht="15" customHeight="1">
      <c r="A79" s="62">
        <v>41</v>
      </c>
      <c r="B79" s="50" t="s">
        <v>176</v>
      </c>
    </row>
    <row r="80" spans="1:2" ht="15" customHeight="1">
      <c r="A80" s="62">
        <v>42</v>
      </c>
      <c r="B80" s="50" t="s">
        <v>177</v>
      </c>
    </row>
    <row r="81" spans="1:2" ht="15" customHeight="1">
      <c r="A81" s="62">
        <v>43</v>
      </c>
      <c r="B81" s="50" t="s">
        <v>178</v>
      </c>
    </row>
    <row r="82" spans="1:2" ht="15" customHeight="1">
      <c r="A82" s="62">
        <v>44</v>
      </c>
      <c r="B82" s="50" t="s">
        <v>179</v>
      </c>
    </row>
    <row r="83" spans="1:2" ht="15" customHeight="1">
      <c r="A83" s="62">
        <v>45</v>
      </c>
      <c r="B83" s="50" t="s">
        <v>180</v>
      </c>
    </row>
    <row r="84" spans="1:2" ht="15" customHeight="1">
      <c r="A84" s="62">
        <v>46</v>
      </c>
      <c r="B84" s="50" t="s">
        <v>181</v>
      </c>
    </row>
    <row r="85" spans="1:2" ht="15" customHeight="1">
      <c r="A85" s="62">
        <v>47</v>
      </c>
      <c r="B85" s="50" t="s">
        <v>182</v>
      </c>
    </row>
    <row r="86" spans="1:2" ht="15" customHeight="1">
      <c r="A86" s="62">
        <v>48</v>
      </c>
      <c r="B86" s="50" t="s">
        <v>183</v>
      </c>
    </row>
    <row r="87" spans="1:2" ht="15" customHeight="1">
      <c r="A87" s="62">
        <v>49</v>
      </c>
      <c r="B87" s="69" t="s">
        <v>184</v>
      </c>
    </row>
    <row r="89" spans="2:9" s="70" customFormat="1" ht="15" customHeight="1">
      <c r="B89" s="14" t="s">
        <v>185</v>
      </c>
      <c r="C89" s="71"/>
      <c r="D89" s="72"/>
      <c r="F89" s="71"/>
      <c r="G89" s="73"/>
      <c r="I89" s="74"/>
    </row>
  </sheetData>
  <sheetProtection formatCells="0" formatColumns="0" formatRows="0" insertColumns="0" insertRows="0" insertHyperlinks="0" deleteColumns="0" deleteRows="0" sort="0" autoFilter="0" pivotTables="0"/>
  <dataValidations count="1">
    <dataValidation type="decimal" operator="greaterThan" allowBlank="1" showInputMessage="1" showErrorMessage="1" errorTitle="Invalid Input" error="All income and expenses must be entered as positive values." sqref="C3:C7 I3:I10 F3:F26 C21:C24 C10:C16">
      <formula1>0</formula1>
    </dataValidation>
  </dataValidations>
  <printOptions/>
  <pageMargins left="0.75" right="0.75" top="1" bottom="1" header="0.5" footer="0.5"/>
  <pageSetup fitToHeight="2" fitToWidth="1" horizontalDpi="600" verticalDpi="600" orientation="landscape" scale="71"/>
  <headerFooter alignWithMargins="0">
    <oddFooter>&amp;CPage &amp;P of &amp;N</oddFooter>
  </headerFooter>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Bond Calculator</dc:title>
  <dc:subject>Unique Excel Based Bond Calculator Template</dc:subject>
  <dc:creator>Excel Skills</dc:creator>
  <cp:keywords>bond calculator, home loan calculator, bond repayment calculator, mortgage calculator</cp:keywords>
  <dc:description/>
  <cp:lastModifiedBy>Kristia van Heerden</cp:lastModifiedBy>
  <cp:lastPrinted>2016-04-21T12:16:43Z</cp:lastPrinted>
  <dcterms:created xsi:type="dcterms:W3CDTF">2009-04-24T13:49:41Z</dcterms:created>
  <dcterms:modified xsi:type="dcterms:W3CDTF">2018-08-22T07:32:23Z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