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endrik Brand\Desktop\"/>
    </mc:Choice>
  </mc:AlternateContent>
  <bookViews>
    <workbookView xWindow="0" yWindow="0" windowWidth="28800" windowHeight="12300" activeTab="3"/>
  </bookViews>
  <sheets>
    <sheet name="Retirement calculator" sheetId="1" r:id="rId1"/>
    <sheet name="Investment Transfer" sheetId="3" r:id="rId2"/>
    <sheet name="RA tax refund" sheetId="4" r:id="rId3"/>
    <sheet name="Calcs" sheetId="2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3" i="2"/>
  <c r="O2" i="2" l="1"/>
  <c r="N2" i="2"/>
  <c r="I3" i="2" l="1"/>
  <c r="I2" i="2"/>
  <c r="N3" i="2" s="1"/>
  <c r="C12" i="3"/>
  <c r="C16" i="3"/>
  <c r="C18" i="3" s="1"/>
  <c r="C8" i="3"/>
  <c r="C15" i="3"/>
  <c r="C11" i="3"/>
  <c r="O4" i="2" l="1"/>
  <c r="N8" i="2"/>
  <c r="O8" i="2"/>
  <c r="N5" i="2"/>
  <c r="N4" i="2"/>
  <c r="N6" i="2"/>
  <c r="N7" i="2"/>
  <c r="O6" i="2"/>
  <c r="O7" i="2"/>
  <c r="O3" i="2"/>
  <c r="O5" i="2"/>
  <c r="N9" i="2" l="1"/>
  <c r="C6" i="4" s="1"/>
  <c r="O9" i="2"/>
  <c r="P9" i="2" l="1"/>
  <c r="C7" i="4" s="1"/>
  <c r="C8" i="4" s="1"/>
  <c r="C13" i="1" l="1"/>
  <c r="C14" i="1"/>
  <c r="C15" i="1" s="1"/>
  <c r="E2" i="2" l="1"/>
  <c r="F2" i="2" s="1"/>
  <c r="F3" i="2" l="1"/>
  <c r="F4" i="2" s="1"/>
  <c r="F5" i="2" s="1"/>
  <c r="F6" i="2" s="1"/>
  <c r="F7" i="2" s="1"/>
  <c r="F8" i="2" s="1"/>
  <c r="F9" i="2" s="1"/>
  <c r="F10" i="2" l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l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C16" i="1"/>
  <c r="C18" i="1" s="1"/>
</calcChain>
</file>

<file path=xl/sharedStrings.xml><?xml version="1.0" encoding="utf-8"?>
<sst xmlns="http://schemas.openxmlformats.org/spreadsheetml/2006/main" count="41" uniqueCount="33">
  <si>
    <t>Retirement age</t>
  </si>
  <si>
    <t>Capital amount required</t>
  </si>
  <si>
    <t>Capital amount achieved</t>
  </si>
  <si>
    <t>Net worth now</t>
  </si>
  <si>
    <t>What you can save per month</t>
  </si>
  <si>
    <t>Montly income required at retirement (inflation adjusted)</t>
  </si>
  <si>
    <t>Current age</t>
  </si>
  <si>
    <t>Inflation average</t>
  </si>
  <si>
    <t>Drawdown percentage per year during retirement</t>
  </si>
  <si>
    <t>Savings rate</t>
  </si>
  <si>
    <t>Inputs</t>
  </si>
  <si>
    <t>Outputs</t>
  </si>
  <si>
    <t>Will you be able to retire?</t>
  </si>
  <si>
    <t>Fees</t>
  </si>
  <si>
    <t>Average annual return before fees</t>
  </si>
  <si>
    <t>Annual investment return on savings</t>
  </si>
  <si>
    <t>Current fund</t>
  </si>
  <si>
    <t>New fund</t>
  </si>
  <si>
    <t>Cost to transfer</t>
  </si>
  <si>
    <t>years</t>
  </si>
  <si>
    <t>Monthly contribution</t>
  </si>
  <si>
    <t>Amount in new fund after transfer</t>
  </si>
  <si>
    <t>Should I transfer?</t>
  </si>
  <si>
    <t>Retirement Annuity contribution</t>
  </si>
  <si>
    <t>Rebate</t>
  </si>
  <si>
    <t>Tax rebate</t>
  </si>
  <si>
    <t>Pay as you earn tax per year</t>
  </si>
  <si>
    <t>Monthly income (pre-tax)</t>
  </si>
  <si>
    <t>Total tax per year after rebate</t>
  </si>
  <si>
    <t>Total value of investment after investment period</t>
  </si>
  <si>
    <t>Present investment value now</t>
  </si>
  <si>
    <t>Monthly income required in todays money at retirement</t>
  </si>
  <si>
    <t>Investment horizon (how long will you invest)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</si>
</sst>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R&quot;#,##0;[Red]\-&quot;R&quot;#,##0"/>
    <numFmt numFmtId="8" formatCode="&quot;R&quot;#,##0.00;[Red]\-&quot;R&quot;#,##0.00"/>
    <numFmt numFmtId="44" formatCode="_-&quot;R&quot;* #,##0.00_-;\-&quot;R&quot;* #,##0.00_-;_-&quot;R&quot;* &quot;-&quot;??_-;_-@_-"/>
    <numFmt numFmtId="164" formatCode="&quot;R&quot;#,##0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8" fontId="0" fillId="0" borderId="0" xfId="0" applyNumberFormat="1"/>
    <xf numFmtId="0" fontId="2" fillId="0" borderId="0" xfId="0" applyFont="1"/>
    <xf numFmtId="9" fontId="0" fillId="0" borderId="0" xfId="0" applyNumberFormat="1"/>
    <xf numFmtId="0" fontId="0" fillId="0" borderId="1" xfId="0" applyBorder="1"/>
    <xf numFmtId="0" fontId="0" fillId="0" borderId="3" xfId="0" applyBorder="1"/>
    <xf numFmtId="0" fontId="0" fillId="0" borderId="4" xfId="1" applyNumberFormat="1" applyFont="1" applyBorder="1"/>
    <xf numFmtId="0" fontId="0" fillId="0" borderId="4" xfId="0" applyBorder="1"/>
    <xf numFmtId="9" fontId="0" fillId="0" borderId="4" xfId="0" applyNumberFormat="1" applyBorder="1"/>
    <xf numFmtId="0" fontId="0" fillId="0" borderId="5" xfId="0" applyBorder="1"/>
    <xf numFmtId="0" fontId="0" fillId="0" borderId="7" xfId="0" applyBorder="1"/>
    <xf numFmtId="9" fontId="0" fillId="0" borderId="8" xfId="2" applyFont="1" applyBorder="1"/>
    <xf numFmtId="2" fontId="0" fillId="0" borderId="0" xfId="0" applyNumberFormat="1"/>
    <xf numFmtId="6" fontId="0" fillId="0" borderId="0" xfId="0" applyNumberFormat="1"/>
    <xf numFmtId="164" fontId="0" fillId="0" borderId="4" xfId="0" applyNumberFormat="1" applyBorder="1"/>
    <xf numFmtId="10" fontId="0" fillId="0" borderId="4" xfId="0" applyNumberFormat="1" applyBorder="1"/>
    <xf numFmtId="0" fontId="0" fillId="0" borderId="8" xfId="0" applyBorder="1"/>
    <xf numFmtId="0" fontId="0" fillId="0" borderId="12" xfId="0" applyBorder="1"/>
    <xf numFmtId="0" fontId="0" fillId="0" borderId="11" xfId="0" applyBorder="1"/>
    <xf numFmtId="164" fontId="0" fillId="0" borderId="6" xfId="0" applyNumberFormat="1" applyBorder="1"/>
    <xf numFmtId="164" fontId="0" fillId="0" borderId="2" xfId="0" applyNumberFormat="1" applyBorder="1"/>
    <xf numFmtId="0" fontId="0" fillId="0" borderId="4" xfId="0" applyNumberFormat="1" applyBorder="1"/>
    <xf numFmtId="6" fontId="0" fillId="0" borderId="6" xfId="0" applyNumberFormat="1" applyBorder="1"/>
    <xf numFmtId="3" fontId="0" fillId="0" borderId="0" xfId="0" applyNumberFormat="1"/>
    <xf numFmtId="164" fontId="0" fillId="0" borderId="4" xfId="1" applyNumberFormat="1" applyFont="1" applyBorder="1"/>
    <xf numFmtId="164" fontId="0" fillId="0" borderId="8" xfId="1" applyNumberFormat="1" applyFont="1" applyBorder="1"/>
    <xf numFmtId="164" fontId="0" fillId="0" borderId="6" xfId="1" applyNumberFormat="1" applyFont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65" fontId="0" fillId="0" borderId="4" xfId="0" applyNumberFormat="1" applyBorder="1"/>
    <xf numFmtId="165" fontId="0" fillId="0" borderId="6" xfId="0" applyNumberFormat="1" applyBorder="1"/>
    <xf numFmtId="165" fontId="0" fillId="0" borderId="4" xfId="2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4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8"/>
  <sheetViews>
    <sheetView workbookViewId="0">
      <selection activeCell="E15" sqref="E15"/>
    </sheetView>
  </sheetViews>
  <sheetFormatPr defaultRowHeight="14.4" x14ac:dyDescent="0.3"/>
  <cols>
    <col min="2" max="2" width="48.33203125" bestFit="1" customWidth="1"/>
    <col min="3" max="3" width="17.88671875" bestFit="1" customWidth="1"/>
    <col min="4" max="4" width="10.6640625" bestFit="1" customWidth="1"/>
  </cols>
  <sheetData>
    <row r="1" spans="2:3" ht="15" thickBot="1" x14ac:dyDescent="0.35"/>
    <row r="2" spans="2:3" ht="15" thickBot="1" x14ac:dyDescent="0.35">
      <c r="B2" s="27" t="s">
        <v>10</v>
      </c>
      <c r="C2" s="28"/>
    </row>
    <row r="3" spans="2:3" x14ac:dyDescent="0.3">
      <c r="B3" s="10" t="s">
        <v>3</v>
      </c>
      <c r="C3" s="25">
        <v>500000</v>
      </c>
    </row>
    <row r="4" spans="2:3" x14ac:dyDescent="0.3">
      <c r="B4" s="5" t="s">
        <v>4</v>
      </c>
      <c r="C4" s="24">
        <v>12500</v>
      </c>
    </row>
    <row r="5" spans="2:3" x14ac:dyDescent="0.3">
      <c r="B5" s="5" t="s">
        <v>31</v>
      </c>
      <c r="C5" s="24">
        <v>40000</v>
      </c>
    </row>
    <row r="6" spans="2:3" x14ac:dyDescent="0.3">
      <c r="B6" s="5" t="s">
        <v>6</v>
      </c>
      <c r="C6" s="6">
        <v>30</v>
      </c>
    </row>
    <row r="7" spans="2:3" x14ac:dyDescent="0.3">
      <c r="B7" s="5" t="s">
        <v>15</v>
      </c>
      <c r="C7" s="35">
        <v>0.11</v>
      </c>
    </row>
    <row r="8" spans="2:3" x14ac:dyDescent="0.3">
      <c r="B8" s="5" t="s">
        <v>0</v>
      </c>
      <c r="C8" s="7">
        <v>60</v>
      </c>
    </row>
    <row r="9" spans="2:3" x14ac:dyDescent="0.3">
      <c r="B9" s="5" t="s">
        <v>7</v>
      </c>
      <c r="C9" s="33">
        <v>5.5E-2</v>
      </c>
    </row>
    <row r="10" spans="2:3" ht="15" thickBot="1" x14ac:dyDescent="0.35">
      <c r="B10" s="9" t="s">
        <v>8</v>
      </c>
      <c r="C10" s="34">
        <v>0.04</v>
      </c>
    </row>
    <row r="11" spans="2:3" ht="15" thickBot="1" x14ac:dyDescent="0.35">
      <c r="C11" s="3"/>
    </row>
    <row r="12" spans="2:3" ht="15" thickBot="1" x14ac:dyDescent="0.35">
      <c r="B12" s="29" t="s">
        <v>11</v>
      </c>
      <c r="C12" s="30"/>
    </row>
    <row r="13" spans="2:3" x14ac:dyDescent="0.3">
      <c r="B13" s="10" t="s">
        <v>9</v>
      </c>
      <c r="C13" s="11">
        <f>C4/C5</f>
        <v>0.3125</v>
      </c>
    </row>
    <row r="14" spans="2:3" x14ac:dyDescent="0.3">
      <c r="B14" s="5" t="s">
        <v>5</v>
      </c>
      <c r="C14" s="24">
        <f>C5*(1+C9)^(C8-C6)</f>
        <v>199358.0515358024</v>
      </c>
    </row>
    <row r="15" spans="2:3" x14ac:dyDescent="0.3">
      <c r="B15" s="5" t="s">
        <v>1</v>
      </c>
      <c r="C15" s="24">
        <f>(C14*12)/C10</f>
        <v>59807415.460740715</v>
      </c>
    </row>
    <row r="16" spans="2:3" ht="15" thickBot="1" x14ac:dyDescent="0.35">
      <c r="B16" s="9" t="s">
        <v>2</v>
      </c>
      <c r="C16" s="26">
        <f>VLOOKUP(C8-C6,Calcs!D3:F41,3)</f>
        <v>61691999.213173009</v>
      </c>
    </row>
    <row r="17" spans="2:3" ht="15" thickBot="1" x14ac:dyDescent="0.35"/>
    <row r="18" spans="2:3" ht="15" thickBot="1" x14ac:dyDescent="0.35">
      <c r="B18" s="18" t="s">
        <v>12</v>
      </c>
      <c r="C18" s="17" t="str">
        <f>IF(C16&gt;C15,"Yes","No")</f>
        <v>Yes</v>
      </c>
    </row>
  </sheetData>
  <mergeCells count="2">
    <mergeCell ref="B2:C2"/>
    <mergeCell ref="B12:C12"/>
  </mergeCells>
  <conditionalFormatting sqref="C18">
    <cfRule type="containsText" dxfId="3" priority="1" operator="containsText" text="No">
      <formula>NOT(ISERROR(SEARCH("No",C18)))</formula>
    </cfRule>
    <cfRule type="containsText" dxfId="2" priority="2" operator="containsText" text="Yes">
      <formula>NOT(ISERROR(SEARCH("Yes",C18)))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workbookViewId="0">
      <selection activeCell="H10" sqref="H10"/>
    </sheetView>
  </sheetViews>
  <sheetFormatPr defaultRowHeight="14.4" x14ac:dyDescent="0.3"/>
  <cols>
    <col min="2" max="2" width="42.109375" bestFit="1" customWidth="1"/>
    <col min="3" max="3" width="18.5546875" customWidth="1"/>
    <col min="5" max="5" width="9.21875" customWidth="1"/>
    <col min="8" max="8" width="27.109375" customWidth="1"/>
    <col min="9" max="9" width="16" bestFit="1" customWidth="1"/>
  </cols>
  <sheetData>
    <row r="1" spans="2:9" ht="15" thickBot="1" x14ac:dyDescent="0.35">
      <c r="B1" s="31" t="s">
        <v>16</v>
      </c>
      <c r="C1" s="32"/>
      <c r="I1" s="2"/>
    </row>
    <row r="2" spans="2:9" x14ac:dyDescent="0.3">
      <c r="B2" s="4" t="s">
        <v>30</v>
      </c>
      <c r="C2" s="20">
        <v>1000000</v>
      </c>
      <c r="H2" s="12"/>
    </row>
    <row r="3" spans="2:9" x14ac:dyDescent="0.3">
      <c r="B3" s="5" t="s">
        <v>20</v>
      </c>
      <c r="C3" s="14">
        <v>3000</v>
      </c>
    </row>
    <row r="4" spans="2:9" x14ac:dyDescent="0.3">
      <c r="B4" s="5" t="s">
        <v>14</v>
      </c>
      <c r="C4" s="8">
        <v>0.1</v>
      </c>
    </row>
    <row r="5" spans="2:9" x14ac:dyDescent="0.3">
      <c r="B5" s="5" t="s">
        <v>13</v>
      </c>
      <c r="C5" s="15">
        <v>2.5000000000000001E-2</v>
      </c>
    </row>
    <row r="6" spans="2:9" x14ac:dyDescent="0.3">
      <c r="B6" s="5" t="s">
        <v>18</v>
      </c>
      <c r="C6" s="8">
        <v>0.1</v>
      </c>
    </row>
    <row r="7" spans="2:9" x14ac:dyDescent="0.3">
      <c r="B7" s="5" t="s">
        <v>32</v>
      </c>
      <c r="C7" s="21">
        <v>30</v>
      </c>
      <c r="D7" t="s">
        <v>19</v>
      </c>
    </row>
    <row r="8" spans="2:9" ht="15" thickBot="1" x14ac:dyDescent="0.35">
      <c r="B8" s="9" t="s">
        <v>29</v>
      </c>
      <c r="C8" s="22">
        <f>FV((C4-C5)/12,C7*12,-C3)+C2*(1+C4-C5)^(C7)</f>
        <v>12797291.463238759</v>
      </c>
    </row>
    <row r="9" spans="2:9" ht="15" thickBot="1" x14ac:dyDescent="0.35"/>
    <row r="10" spans="2:9" ht="15" thickBot="1" x14ac:dyDescent="0.35">
      <c r="B10" s="29" t="s">
        <v>17</v>
      </c>
      <c r="C10" s="30"/>
    </row>
    <row r="11" spans="2:9" x14ac:dyDescent="0.3">
      <c r="B11" s="10" t="s">
        <v>21</v>
      </c>
      <c r="C11" s="16">
        <f>C2*(1-C6)</f>
        <v>900000</v>
      </c>
    </row>
    <row r="12" spans="2:9" x14ac:dyDescent="0.3">
      <c r="B12" s="5" t="s">
        <v>20</v>
      </c>
      <c r="C12" s="14">
        <f>C3</f>
        <v>3000</v>
      </c>
    </row>
    <row r="13" spans="2:9" x14ac:dyDescent="0.3">
      <c r="B13" s="5" t="s">
        <v>14</v>
      </c>
      <c r="C13" s="8">
        <v>0.1</v>
      </c>
    </row>
    <row r="14" spans="2:9" x14ac:dyDescent="0.3">
      <c r="B14" s="5" t="s">
        <v>13</v>
      </c>
      <c r="C14" s="15">
        <v>5.0000000000000001E-3</v>
      </c>
    </row>
    <row r="15" spans="2:9" x14ac:dyDescent="0.3">
      <c r="B15" s="5" t="s">
        <v>32</v>
      </c>
      <c r="C15" s="7">
        <f>C7</f>
        <v>30</v>
      </c>
      <c r="D15" t="s">
        <v>19</v>
      </c>
    </row>
    <row r="16" spans="2:9" ht="15" thickBot="1" x14ac:dyDescent="0.35">
      <c r="B16" s="9" t="s">
        <v>29</v>
      </c>
      <c r="C16" s="19">
        <f>FV((C13-C14)/12,C15*12,-C12)+C11*(1+C13-C14)^(C15)</f>
        <v>19797386.959798563</v>
      </c>
    </row>
    <row r="17" spans="2:3" ht="15" thickBot="1" x14ac:dyDescent="0.35"/>
    <row r="18" spans="2:3" ht="15" thickBot="1" x14ac:dyDescent="0.35">
      <c r="B18" s="18" t="s">
        <v>22</v>
      </c>
      <c r="C18" s="17" t="str">
        <f>IF(C16&gt;C8,"Yes","No")</f>
        <v>Yes</v>
      </c>
    </row>
  </sheetData>
  <mergeCells count="2">
    <mergeCell ref="B1:C1"/>
    <mergeCell ref="B10:C10"/>
  </mergeCells>
  <conditionalFormatting sqref="C18">
    <cfRule type="containsText" dxfId="1" priority="1" operator="containsText" text="No">
      <formula>NOT(ISERROR(SEARCH("No",C18)))</formula>
    </cfRule>
    <cfRule type="containsText" dxfId="0" priority="2" operator="containsText" text="Yes">
      <formula>NOT(ISERROR(SEARCH("Yes",C18)))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8"/>
  <sheetViews>
    <sheetView workbookViewId="0">
      <selection activeCell="F6" sqref="F6"/>
    </sheetView>
  </sheetViews>
  <sheetFormatPr defaultRowHeight="14.4" x14ac:dyDescent="0.3"/>
  <cols>
    <col min="2" max="2" width="27.5546875" bestFit="1" customWidth="1"/>
    <col min="3" max="3" width="14.5546875" bestFit="1" customWidth="1"/>
  </cols>
  <sheetData>
    <row r="1" spans="2:3" ht="15" thickBot="1" x14ac:dyDescent="0.35">
      <c r="B1" s="29" t="s">
        <v>10</v>
      </c>
      <c r="C1" s="30"/>
    </row>
    <row r="2" spans="2:3" x14ac:dyDescent="0.3">
      <c r="B2" s="10" t="s">
        <v>27</v>
      </c>
      <c r="C2" s="25">
        <v>40000</v>
      </c>
    </row>
    <row r="3" spans="2:3" x14ac:dyDescent="0.3">
      <c r="B3" s="5" t="s">
        <v>23</v>
      </c>
      <c r="C3" s="24">
        <v>8000</v>
      </c>
    </row>
    <row r="4" spans="2:3" ht="15" thickBot="1" x14ac:dyDescent="0.35"/>
    <row r="5" spans="2:3" ht="15" thickBot="1" x14ac:dyDescent="0.35">
      <c r="B5" s="29" t="s">
        <v>11</v>
      </c>
      <c r="C5" s="30"/>
    </row>
    <row r="6" spans="2:3" x14ac:dyDescent="0.3">
      <c r="B6" s="10" t="s">
        <v>26</v>
      </c>
      <c r="C6" s="25">
        <f>Calcs!N9</f>
        <v>120675</v>
      </c>
    </row>
    <row r="7" spans="2:3" x14ac:dyDescent="0.3">
      <c r="B7" s="5" t="s">
        <v>25</v>
      </c>
      <c r="C7" s="24">
        <f>Calcs!P9</f>
        <v>32595.5</v>
      </c>
    </row>
    <row r="8" spans="2:3" ht="15" thickBot="1" x14ac:dyDescent="0.35">
      <c r="B8" s="9" t="s">
        <v>28</v>
      </c>
      <c r="C8" s="19">
        <f>C6-C7</f>
        <v>88079.5</v>
      </c>
    </row>
  </sheetData>
  <mergeCells count="2">
    <mergeCell ref="B1:C1"/>
    <mergeCell ref="B5:C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P76"/>
  <sheetViews>
    <sheetView tabSelected="1" workbookViewId="0">
      <selection activeCell="H16" sqref="H16"/>
    </sheetView>
  </sheetViews>
  <sheetFormatPr defaultRowHeight="14.4" x14ac:dyDescent="0.3"/>
  <cols>
    <col min="5" max="5" width="13.6640625" bestFit="1" customWidth="1"/>
    <col min="6" max="6" width="20.6640625" bestFit="1" customWidth="1"/>
    <col min="9" max="9" width="11.109375" bestFit="1" customWidth="1"/>
    <col min="11" max="11" width="8" bestFit="1" customWidth="1"/>
  </cols>
  <sheetData>
    <row r="2" spans="4:16" x14ac:dyDescent="0.3">
      <c r="D2">
        <v>1</v>
      </c>
      <c r="E2" s="1">
        <f>FV('Retirement calculator'!$C$7/12,12,-'Retirement calculator'!$C$4)</f>
        <v>157798.41299347478</v>
      </c>
      <c r="F2" s="1">
        <f>E2+'Retirement calculator'!C3</f>
        <v>657798.41299347475</v>
      </c>
      <c r="I2">
        <f>'RA tax refund'!C2*12</f>
        <v>480000</v>
      </c>
      <c r="K2">
        <v>195850</v>
      </c>
      <c r="L2">
        <v>78150</v>
      </c>
      <c r="M2" s="3">
        <v>0.18</v>
      </c>
      <c r="N2">
        <f>IF(AND(L2&lt;$I$2,$I$2&lt;K2),($I$2-L2)*M2,0)</f>
        <v>0</v>
      </c>
      <c r="O2">
        <f>IF(AND(L2&lt;$I$3,$I$3&lt;K2),($I$3-L2)*M2,0)</f>
        <v>0</v>
      </c>
    </row>
    <row r="3" spans="4:16" x14ac:dyDescent="0.3">
      <c r="D3">
        <v>2</v>
      </c>
      <c r="E3" s="1">
        <f>FV('Retirement calculator'!$C$7/12,12,-'Retirement calculator'!$C$4*((1+'Retirement calculator'!$C$9)^(D3-1)))</f>
        <v>166477.32570811588</v>
      </c>
      <c r="F3" s="1">
        <f>F2*(1+'Retirement calculator'!$C$7)+E3</f>
        <v>896633.56413087295</v>
      </c>
      <c r="I3">
        <f>('RA tax refund'!C2-IF('RA tax refund'!C3&lt;('RA tax refund'!C2*0.275),'RA tax refund'!C3,'RA tax refund'!C2*0.275))*12</f>
        <v>384000</v>
      </c>
      <c r="K3">
        <v>305850</v>
      </c>
      <c r="L3">
        <v>35253</v>
      </c>
      <c r="M3" s="3">
        <v>0.26</v>
      </c>
      <c r="N3">
        <f>IF(AND(K2&lt;$I$2,$I$2&lt;K3),($I$2-K2)*M3+L3,0)</f>
        <v>0</v>
      </c>
      <c r="O3">
        <f>IF(AND(K2&lt;$I$3,$I$3&lt;K3),($I$3-K2)*M3+L3,0)</f>
        <v>0</v>
      </c>
    </row>
    <row r="4" spans="4:16" x14ac:dyDescent="0.3">
      <c r="D4">
        <v>3</v>
      </c>
      <c r="E4" s="1">
        <f>FV('Retirement calculator'!$C$7/12,12,-'Retirement calculator'!$C$4*((1+'Retirement calculator'!$C$9)^(D4-1)))</f>
        <v>175633.57862206225</v>
      </c>
      <c r="F4" s="1">
        <f>F3*(1+'Retirement calculator'!$C$7)+E4</f>
        <v>1170896.8348073314</v>
      </c>
      <c r="K4" s="23">
        <v>423300</v>
      </c>
      <c r="L4">
        <v>63853</v>
      </c>
      <c r="M4" s="3">
        <v>0.31</v>
      </c>
      <c r="N4">
        <f t="shared" ref="N4" si="0">IF(AND(K3&lt;$I$2,$I$2&lt;K4),($I$2-K3)*M4+L4,0)</f>
        <v>0</v>
      </c>
      <c r="O4">
        <f t="shared" ref="O4:O7" si="1">IF(AND(K3&lt;$I$3,$I$3&lt;K4),($I$3-K3)*M4+L4,0)</f>
        <v>88079.5</v>
      </c>
    </row>
    <row r="5" spans="4:16" x14ac:dyDescent="0.3">
      <c r="D5">
        <v>4</v>
      </c>
      <c r="E5" s="1">
        <f>FV('Retirement calculator'!$C$7/12,12,-'Retirement calculator'!$C$4*((1+'Retirement calculator'!$C$9)^(D5-1)))</f>
        <v>185293.42544627565</v>
      </c>
      <c r="F5" s="1">
        <f>F4*(1+'Retirement calculator'!$C$7)+E5</f>
        <v>1484988.9120824137</v>
      </c>
      <c r="K5">
        <v>555600</v>
      </c>
      <c r="L5">
        <v>100263</v>
      </c>
      <c r="M5" s="3">
        <v>0.36</v>
      </c>
      <c r="N5">
        <f>IF(AND(K4&lt;$I$2,$I$2&lt;K5),($I$2-K4)*M5+L5,0)</f>
        <v>120675</v>
      </c>
      <c r="O5">
        <f t="shared" si="1"/>
        <v>0</v>
      </c>
    </row>
    <row r="6" spans="4:16" x14ac:dyDescent="0.3">
      <c r="D6">
        <v>5</v>
      </c>
      <c r="E6" s="1">
        <f>FV('Retirement calculator'!$C$7/12,12,-'Retirement calculator'!$C$4*((1+'Retirement calculator'!$C$9)^(D6-1)))</f>
        <v>195484.56384582081</v>
      </c>
      <c r="F6" s="1">
        <f>F5*(1+'Retirement calculator'!$C$7)+E6</f>
        <v>1843822.2562573</v>
      </c>
      <c r="K6">
        <v>708310</v>
      </c>
      <c r="L6">
        <v>147891</v>
      </c>
      <c r="M6" s="3">
        <v>0.39</v>
      </c>
      <c r="N6">
        <f t="shared" ref="N6:N7" si="2">IF(AND(K5&lt;$I$2,$I$2&lt;K6),($I$2-K5)*M6+L6,0)</f>
        <v>0</v>
      </c>
      <c r="O6">
        <f t="shared" si="1"/>
        <v>0</v>
      </c>
    </row>
    <row r="7" spans="4:16" x14ac:dyDescent="0.3">
      <c r="D7">
        <v>6</v>
      </c>
      <c r="E7" s="1">
        <f>FV('Retirement calculator'!$C$7/12,12,-'Retirement calculator'!$C$4*((1+'Retirement calculator'!$C$9)^(D7-1)))</f>
        <v>206236.21485734094</v>
      </c>
      <c r="F7" s="1">
        <f>F6*(1+'Retirement calculator'!$C$7)+E7</f>
        <v>2252878.9193029441</v>
      </c>
      <c r="K7">
        <v>1500000</v>
      </c>
      <c r="L7">
        <v>207446</v>
      </c>
      <c r="M7" s="3">
        <v>0.41</v>
      </c>
      <c r="N7">
        <f t="shared" si="2"/>
        <v>0</v>
      </c>
      <c r="O7">
        <f t="shared" si="1"/>
        <v>0</v>
      </c>
    </row>
    <row r="8" spans="4:16" x14ac:dyDescent="0.3">
      <c r="D8">
        <v>7</v>
      </c>
      <c r="E8" s="1">
        <f>FV('Retirement calculator'!$C$7/12,12,-'Retirement calculator'!$C$4*((1+'Retirement calculator'!$C$9)^(D8-1)))</f>
        <v>217579.20667449469</v>
      </c>
      <c r="F8" s="1">
        <f>F7*(1+'Retirement calculator'!$C$7)+E8</f>
        <v>2718274.8071007631</v>
      </c>
      <c r="L8">
        <v>532041</v>
      </c>
      <c r="M8" s="3">
        <v>0.45</v>
      </c>
      <c r="N8">
        <f>IF(K7&lt;$I$2,($I$2-K7)*M8+L8,0)</f>
        <v>0</v>
      </c>
      <c r="O8">
        <f>IF(K7&lt;$I$3,($I$3-K7)*M8+L8,0)</f>
        <v>0</v>
      </c>
      <c r="P8" t="s">
        <v>24</v>
      </c>
    </row>
    <row r="9" spans="4:16" x14ac:dyDescent="0.3">
      <c r="D9">
        <v>8</v>
      </c>
      <c r="E9" s="1">
        <f>FV('Retirement calculator'!$C$7/12,12,-'Retirement calculator'!$C$4*((1+'Retirement calculator'!$C$9)^(D9-1)))</f>
        <v>229546.06304159187</v>
      </c>
      <c r="F9" s="1">
        <f>F8*(1+'Retirement calculator'!$C$7)+E9</f>
        <v>3246831.0989234392</v>
      </c>
      <c r="N9">
        <f>SUM(N2:N8)</f>
        <v>120675</v>
      </c>
      <c r="O9">
        <f>SUM(O2:O8)</f>
        <v>88079.5</v>
      </c>
      <c r="P9">
        <f>N9-O9</f>
        <v>32595.5</v>
      </c>
    </row>
    <row r="10" spans="4:16" x14ac:dyDescent="0.3">
      <c r="D10">
        <v>9</v>
      </c>
      <c r="E10" s="1">
        <f>FV('Retirement calculator'!$C$7/12,12,-'Retirement calculator'!$C$4*((1+'Retirement calculator'!$C$9)^(D10-1)))</f>
        <v>242171.09650887945</v>
      </c>
      <c r="F10" s="1">
        <f>F9*(1+'Retirement calculator'!$C$7)+E10</f>
        <v>3846153.6163138971</v>
      </c>
    </row>
    <row r="11" spans="4:16" x14ac:dyDescent="0.3">
      <c r="D11">
        <v>10</v>
      </c>
      <c r="E11" s="1">
        <f>FV('Retirement calculator'!$C$7/12,12,-'Retirement calculator'!$C$4*((1+'Retirement calculator'!$C$9)^(D11-1)))</f>
        <v>255490.5068168678</v>
      </c>
      <c r="F11" s="1">
        <f>F10*(1+'Retirement calculator'!$C$7)+E11</f>
        <v>4524721.0209252937</v>
      </c>
    </row>
    <row r="12" spans="4:16" x14ac:dyDescent="0.3">
      <c r="D12">
        <v>11</v>
      </c>
      <c r="E12" s="1">
        <f>FV('Retirement calculator'!$C$7/12,12,-'Retirement calculator'!$C$4*((1+'Retirement calculator'!$C$9)^(D12-1)))</f>
        <v>269542.48469179554</v>
      </c>
      <c r="F12" s="1">
        <f>F11*(1+'Retirement calculator'!$C$7)+E12</f>
        <v>5291982.8179188725</v>
      </c>
      <c r="M12" s="3"/>
    </row>
    <row r="13" spans="4:16" x14ac:dyDescent="0.3">
      <c r="D13">
        <v>12</v>
      </c>
      <c r="E13" s="1">
        <f>FV('Retirement calculator'!$C$7/12,12,-'Retirement calculator'!$C$4*((1+'Retirement calculator'!$C$9)^(D13-1)))</f>
        <v>284367.32134984428</v>
      </c>
      <c r="F13" s="1">
        <f>F12*(1+'Retirement calculator'!$C$7)+E13</f>
        <v>6158468.249239793</v>
      </c>
      <c r="I13" s="13"/>
      <c r="M13" s="3"/>
    </row>
    <row r="14" spans="4:16" x14ac:dyDescent="0.3">
      <c r="D14">
        <v>13</v>
      </c>
      <c r="E14" s="1">
        <f>FV('Retirement calculator'!$C$7/12,12,-'Retirement calculator'!$C$4*((1+'Retirement calculator'!$C$9)^(D14-1)))</f>
        <v>300007.52402408567</v>
      </c>
      <c r="F14" s="1">
        <f>F13*(1+'Retirement calculator'!$C$7)+E14</f>
        <v>7135907.2806802569</v>
      </c>
      <c r="I14" s="1"/>
      <c r="K14" s="23"/>
      <c r="M14" s="3"/>
    </row>
    <row r="15" spans="4:16" x14ac:dyDescent="0.3">
      <c r="D15">
        <v>14</v>
      </c>
      <c r="E15" s="1">
        <f>FV('Retirement calculator'!$C$7/12,12,-'Retirement calculator'!$C$4*((1+'Retirement calculator'!$C$9)^(D15-1)))</f>
        <v>316507.93784541037</v>
      </c>
      <c r="F15" s="1">
        <f>F14*(1+'Retirement calculator'!$C$7)+E15</f>
        <v>8237365.019400497</v>
      </c>
      <c r="M15" s="3"/>
    </row>
    <row r="16" spans="4:16" x14ac:dyDescent="0.3">
      <c r="D16">
        <v>15</v>
      </c>
      <c r="E16" s="1">
        <f>FV('Retirement calculator'!$C$7/12,12,-'Retirement calculator'!$C$4*((1+'Retirement calculator'!$C$9)^(D16-1)))</f>
        <v>333915.87442690792</v>
      </c>
      <c r="F16" s="1">
        <f>F15*(1+'Retirement calculator'!$C$7)+E16</f>
        <v>9477391.045961462</v>
      </c>
      <c r="M16" s="3"/>
    </row>
    <row r="17" spans="4:13" x14ac:dyDescent="0.3">
      <c r="D17">
        <v>16</v>
      </c>
      <c r="E17" s="1">
        <f>FV('Retirement calculator'!$C$7/12,12,-'Retirement calculator'!$C$4*((1+'Retirement calculator'!$C$9)^(D17-1)))</f>
        <v>352281.24752038781</v>
      </c>
      <c r="F17" s="1">
        <f>F16*(1+'Retirement calculator'!$C$7)+E17</f>
        <v>10872185.308537612</v>
      </c>
      <c r="M17" s="3"/>
    </row>
    <row r="18" spans="4:13" x14ac:dyDescent="0.3">
      <c r="D18">
        <v>17</v>
      </c>
      <c r="E18" s="1">
        <f>FV('Retirement calculator'!$C$7/12,12,-'Retirement calculator'!$C$4*((1+'Retirement calculator'!$C$9)^(D18-1)))</f>
        <v>371656.71613400918</v>
      </c>
      <c r="F18" s="1">
        <f>F17*(1+'Retirement calculator'!$C$7)+E18</f>
        <v>12439782.408610759</v>
      </c>
      <c r="M18" s="3"/>
    </row>
    <row r="19" spans="4:13" x14ac:dyDescent="0.3">
      <c r="D19">
        <v>18</v>
      </c>
      <c r="E19" s="1">
        <f>FV('Retirement calculator'!$C$7/12,12,-'Retirement calculator'!$C$4*((1+'Retirement calculator'!$C$9)^(D19-1)))</f>
        <v>392097.83552137966</v>
      </c>
      <c r="F19" s="1">
        <f>F18*(1+'Retirement calculator'!$C$7)+E19</f>
        <v>14200256.309079323</v>
      </c>
    </row>
    <row r="20" spans="4:13" x14ac:dyDescent="0.3">
      <c r="D20">
        <v>19</v>
      </c>
      <c r="E20" s="1">
        <f>FV('Retirement calculator'!$C$7/12,12,-'Retirement calculator'!$C$4*((1+'Retirement calculator'!$C$9)^(D20-1)))</f>
        <v>413663.21647505549</v>
      </c>
      <c r="F20" s="1">
        <f>F19*(1+'Retirement calculator'!$C$7)+E20</f>
        <v>16175947.719553104</v>
      </c>
    </row>
    <row r="21" spans="4:13" x14ac:dyDescent="0.3">
      <c r="D21">
        <v>20</v>
      </c>
      <c r="E21" s="1">
        <f>FV('Retirement calculator'!$C$7/12,12,-'Retirement calculator'!$C$4*((1+'Retirement calculator'!$C$9)^(D21-1)))</f>
        <v>436414.69338118355</v>
      </c>
      <c r="F21" s="1">
        <f>F20*(1+'Retirement calculator'!$C$7)+E21</f>
        <v>18391716.662085131</v>
      </c>
    </row>
    <row r="22" spans="4:13" x14ac:dyDescent="0.3">
      <c r="D22">
        <v>21</v>
      </c>
      <c r="E22" s="1">
        <f>FV('Retirement calculator'!$C$7/12,12,-'Retirement calculator'!$C$4*((1+'Retirement calculator'!$C$9)^(D22-1)))</f>
        <v>460417.50151714863</v>
      </c>
      <c r="F22" s="1">
        <f>F21*(1+'Retirement calculator'!$C$7)+E22</f>
        <v>20875222.996431645</v>
      </c>
      <c r="M22" s="3"/>
    </row>
    <row r="23" spans="4:13" x14ac:dyDescent="0.3">
      <c r="D23">
        <v>22</v>
      </c>
      <c r="E23" s="1">
        <f>FV('Retirement calculator'!$C$7/12,12,-'Retirement calculator'!$C$4*((1+'Retirement calculator'!$C$9)^(D23-1)))</f>
        <v>485740.46410059178</v>
      </c>
      <c r="F23" s="1">
        <f>F22*(1+'Retirement calculator'!$C$7)+E23</f>
        <v>23657237.990139719</v>
      </c>
      <c r="M23" s="3"/>
    </row>
    <row r="24" spans="4:13" x14ac:dyDescent="0.3">
      <c r="D24">
        <v>23</v>
      </c>
      <c r="E24" s="1">
        <f>FV('Retirement calculator'!$C$7/12,12,-'Retirement calculator'!$C$4*((1+'Retirement calculator'!$C$9)^(D24-1)))</f>
        <v>512456.18962612434</v>
      </c>
      <c r="F24" s="1">
        <f>F23*(1+'Retirement calculator'!$C$7)+E24</f>
        <v>26771990.358681213</v>
      </c>
      <c r="K24" s="23"/>
      <c r="M24" s="3"/>
    </row>
    <row r="25" spans="4:13" x14ac:dyDescent="0.3">
      <c r="D25">
        <v>24</v>
      </c>
      <c r="E25" s="1">
        <f>FV('Retirement calculator'!$C$7/12,12,-'Retirement calculator'!$C$4*((1+'Retirement calculator'!$C$9)^(D25-1)))</f>
        <v>540641.2800555611</v>
      </c>
      <c r="F25" s="1">
        <f>F24*(1+'Retirement calculator'!$C$7)+E25</f>
        <v>30257550.578191709</v>
      </c>
      <c r="M25" s="3"/>
    </row>
    <row r="26" spans="4:13" x14ac:dyDescent="0.3">
      <c r="D26">
        <v>25</v>
      </c>
      <c r="E26" s="1">
        <f>FV('Retirement calculator'!$C$7/12,12,-'Retirement calculator'!$C$4*((1+'Retirement calculator'!$C$9)^(D26-1)))</f>
        <v>570376.55045861693</v>
      </c>
      <c r="F26" s="1">
        <f>F25*(1+'Retirement calculator'!$C$7)+E26</f>
        <v>34156257.692251414</v>
      </c>
      <c r="M26" s="3"/>
    </row>
    <row r="27" spans="4:13" x14ac:dyDescent="0.3">
      <c r="D27">
        <v>26</v>
      </c>
      <c r="E27" s="1">
        <f>FV('Retirement calculator'!$C$7/12,12,-'Retirement calculator'!$C$4*((1+'Retirement calculator'!$C$9)^(D27-1)))</f>
        <v>601747.26073384099</v>
      </c>
      <c r="F27" s="1">
        <f>F26*(1+'Retirement calculator'!$C$7)+E27</f>
        <v>38515193.299132913</v>
      </c>
      <c r="M27" s="3"/>
    </row>
    <row r="28" spans="4:13" x14ac:dyDescent="0.3">
      <c r="D28">
        <v>27</v>
      </c>
      <c r="E28" s="1">
        <f>FV('Retirement calculator'!$C$7/12,12,-'Retirement calculator'!$C$4*((1+'Retirement calculator'!$C$9)^(D28-1)))</f>
        <v>634843.36007420218</v>
      </c>
      <c r="F28" s="1">
        <f>F27*(1+'Retirement calculator'!$C$7)+E28</f>
        <v>43386707.922111735</v>
      </c>
      <c r="M28" s="3"/>
    </row>
    <row r="29" spans="4:13" x14ac:dyDescent="0.3">
      <c r="D29">
        <v>28</v>
      </c>
      <c r="E29" s="1">
        <f>FV('Retirement calculator'!$C$7/12,12,-'Retirement calculator'!$C$4*((1+'Retirement calculator'!$C$9)^(D29-1)))</f>
        <v>669759.74487828324</v>
      </c>
      <c r="F29" s="1">
        <f>F28*(1+'Retirement calculator'!$C$7)+E29</f>
        <v>48829005.538422316</v>
      </c>
    </row>
    <row r="30" spans="4:13" x14ac:dyDescent="0.3">
      <c r="D30">
        <v>29</v>
      </c>
      <c r="E30" s="1">
        <f>FV('Retirement calculator'!$C$7/12,12,-'Retirement calculator'!$C$4*((1+'Retirement calculator'!$C$9)^(D30-1)))</f>
        <v>706596.53084658878</v>
      </c>
      <c r="F30" s="1">
        <f>F29*(1+'Retirement calculator'!$C$7)+E30</f>
        <v>54906792.678495362</v>
      </c>
    </row>
    <row r="31" spans="4:13" x14ac:dyDescent="0.3">
      <c r="D31">
        <v>30</v>
      </c>
      <c r="E31" s="1">
        <f>FV('Retirement calculator'!$C$7/12,12,-'Retirement calculator'!$C$4*((1+'Retirement calculator'!$C$9)^(D31-1)))</f>
        <v>745459.34004315105</v>
      </c>
      <c r="F31" s="1">
        <f>F30*(1+'Retirement calculator'!$C$7)+E31</f>
        <v>61691999.213173009</v>
      </c>
    </row>
    <row r="32" spans="4:13" x14ac:dyDescent="0.3">
      <c r="D32">
        <v>31</v>
      </c>
      <c r="E32" s="1">
        <f>FV('Retirement calculator'!$C$7/12,12,-'Retirement calculator'!$C$4*((1+'Retirement calculator'!$C$9)^(D32-1)))</f>
        <v>786459.60374552442</v>
      </c>
      <c r="F32" s="1">
        <f>F31*(1+'Retirement calculator'!$C$7)+E32</f>
        <v>69264578.730367571</v>
      </c>
    </row>
    <row r="33" spans="4:6" x14ac:dyDescent="0.3">
      <c r="D33">
        <v>32</v>
      </c>
      <c r="E33" s="1">
        <f>FV('Retirement calculator'!$C$7/12,12,-'Retirement calculator'!$C$4*((1+'Retirement calculator'!$C$9)^(D33-1)))</f>
        <v>829714.88195152802</v>
      </c>
      <c r="F33" s="1">
        <f>F32*(1+'Retirement calculator'!$C$7)+E33</f>
        <v>77713397.27265954</v>
      </c>
    </row>
    <row r="34" spans="4:6" x14ac:dyDescent="0.3">
      <c r="D34">
        <v>33</v>
      </c>
      <c r="E34" s="1">
        <f>FV('Retirement calculator'!$C$7/12,12,-'Retirement calculator'!$C$4*((1+'Retirement calculator'!$C$9)^(D34-1)))</f>
        <v>875349.20045886224</v>
      </c>
      <c r="F34" s="1">
        <f>F33*(1+'Retirement calculator'!$C$7)+E34</f>
        <v>87137220.173110962</v>
      </c>
    </row>
    <row r="35" spans="4:6" x14ac:dyDescent="0.3">
      <c r="D35">
        <v>34</v>
      </c>
      <c r="E35" s="1">
        <f>FV('Retirement calculator'!$C$7/12,12,-'Retirement calculator'!$C$4*((1+'Retirement calculator'!$C$9)^(D35-1)))</f>
        <v>923493.40648409957</v>
      </c>
      <c r="F35" s="1">
        <f>F34*(1+'Retirement calculator'!$C$7)+E35</f>
        <v>97645807.798637271</v>
      </c>
    </row>
    <row r="36" spans="4:6" x14ac:dyDescent="0.3">
      <c r="D36">
        <v>35</v>
      </c>
      <c r="E36" s="1">
        <f>FV('Retirement calculator'!$C$7/12,12,-'Retirement calculator'!$C$4*((1+'Retirement calculator'!$C$9)^(D36-1)))</f>
        <v>974285.54384072509</v>
      </c>
      <c r="F36" s="1">
        <f>F35*(1+'Retirement calculator'!$C$7)+E36</f>
        <v>109361132.2003281</v>
      </c>
    </row>
    <row r="37" spans="4:6" x14ac:dyDescent="0.3">
      <c r="D37">
        <v>36</v>
      </c>
      <c r="E37" s="1">
        <f>FV('Retirement calculator'!$C$7/12,12,-'Retirement calculator'!$C$4*((1+'Retirement calculator'!$C$9)^(D37-1)))</f>
        <v>1027871.2487519648</v>
      </c>
      <c r="F37" s="1">
        <f>F36*(1+'Retirement calculator'!$C$7)+E37</f>
        <v>122418727.99111617</v>
      </c>
    </row>
    <row r="38" spans="4:6" x14ac:dyDescent="0.3">
      <c r="D38">
        <v>37</v>
      </c>
      <c r="E38" s="1">
        <f>FV('Retirement calculator'!$C$7/12,12,-'Retirement calculator'!$C$4*((1+'Retirement calculator'!$C$9)^(D38-1)))</f>
        <v>1084404.1674333229</v>
      </c>
      <c r="F38" s="1">
        <f>F37*(1+'Retirement calculator'!$C$7)+E38</f>
        <v>136969192.23757228</v>
      </c>
    </row>
    <row r="39" spans="4:6" x14ac:dyDescent="0.3">
      <c r="D39">
        <v>38</v>
      </c>
      <c r="E39" s="1">
        <f>FV('Retirement calculator'!$C$7/12,12,-'Retirement calculator'!$C$4*((1+'Retirement calculator'!$C$9)^(D39-1)))</f>
        <v>1144046.3966421555</v>
      </c>
      <c r="F39" s="1">
        <f>F38*(1+'Retirement calculator'!$C$7)+E39</f>
        <v>153179849.78034741</v>
      </c>
    </row>
    <row r="40" spans="4:6" x14ac:dyDescent="0.3">
      <c r="D40">
        <v>39</v>
      </c>
      <c r="E40" s="1">
        <f>FV('Retirement calculator'!$C$7/12,12,-'Retirement calculator'!$C$4*((1+'Retirement calculator'!$C$9)^(D40-1)))</f>
        <v>1206968.9484574741</v>
      </c>
      <c r="F40" s="1">
        <f>F39*(1+'Retirement calculator'!$C$7)+E40</f>
        <v>171236602.20464313</v>
      </c>
    </row>
    <row r="41" spans="4:6" x14ac:dyDescent="0.3">
      <c r="D41">
        <v>40</v>
      </c>
      <c r="E41" s="1">
        <f>FV('Retirement calculator'!$C$7/12,12,-'Retirement calculator'!$C$4*((1+'Retirement calculator'!$C$9)^(D41-1)))</f>
        <v>1273352.2406226352</v>
      </c>
      <c r="F41" s="1">
        <f>F40*(1+'Retirement calculator'!$C$7)+E41</f>
        <v>191345980.68777654</v>
      </c>
    </row>
    <row r="42" spans="4:6" x14ac:dyDescent="0.3">
      <c r="D42">
        <v>41</v>
      </c>
      <c r="E42" s="1">
        <f>FV('Retirement calculator'!$C$7/12,12,-'Retirement calculator'!$C$4*((1+'Retirement calculator'!$C$9)^(D42-1)))</f>
        <v>1343386.6138568802</v>
      </c>
      <c r="F42" s="1">
        <f>F41*(1+'Retirement calculator'!$C$7)+E42</f>
        <v>213737425.17728886</v>
      </c>
    </row>
    <row r="43" spans="4:6" x14ac:dyDescent="0.3">
      <c r="D43">
        <v>42</v>
      </c>
      <c r="E43" s="1">
        <f>FV('Retirement calculator'!$C$7/12,12,-'Retirement calculator'!$C$4*((1+'Retirement calculator'!$C$9)^(D43-1)))</f>
        <v>1417272.8776190083</v>
      </c>
      <c r="F43" s="1">
        <f>F42*(1+'Retirement calculator'!$C$7)+E43</f>
        <v>238665814.82440966</v>
      </c>
    </row>
    <row r="44" spans="4:6" x14ac:dyDescent="0.3">
      <c r="D44">
        <v>43</v>
      </c>
      <c r="E44" s="1">
        <f>FV('Retirement calculator'!$C$7/12,12,-'Retirement calculator'!$C$4*((1+'Retirement calculator'!$C$9)^(D44-1)))</f>
        <v>1495222.8858880538</v>
      </c>
      <c r="F44" s="1">
        <f>F43*(1+'Retirement calculator'!$C$7)+E44</f>
        <v>266414277.34098279</v>
      </c>
    </row>
    <row r="45" spans="4:6" x14ac:dyDescent="0.3">
      <c r="D45">
        <v>44</v>
      </c>
      <c r="E45" s="1">
        <f>FV('Retirement calculator'!$C$7/12,12,-'Retirement calculator'!$C$4*((1+'Retirement calculator'!$C$9)^(D45-1)))</f>
        <v>1577460.1446118965</v>
      </c>
      <c r="F45" s="1">
        <f>F44*(1+'Retirement calculator'!$C$7)+E45</f>
        <v>297297307.99310285</v>
      </c>
    </row>
    <row r="46" spans="4:6" x14ac:dyDescent="0.3">
      <c r="D46">
        <v>45</v>
      </c>
      <c r="E46" s="1">
        <f>FV('Retirement calculator'!$C$7/12,12,-'Retirement calculator'!$C$4*((1+'Retirement calculator'!$C$9)^(D46-1)))</f>
        <v>1664220.4525655508</v>
      </c>
      <c r="F46" s="1">
        <f>F45*(1+'Retirement calculator'!$C$7)+E46</f>
        <v>331664232.32490975</v>
      </c>
    </row>
    <row r="47" spans="4:6" x14ac:dyDescent="0.3">
      <c r="D47">
        <v>46</v>
      </c>
      <c r="E47" s="1">
        <f>FV('Retirement calculator'!$C$7/12,12,-'Retirement calculator'!$C$4*((1+'Retirement calculator'!$C$9)^(D47-1)))</f>
        <v>1755752.5774566561</v>
      </c>
      <c r="F47" s="1">
        <f>F46*(1+'Retirement calculator'!$C$7)+E47</f>
        <v>369903050.45810652</v>
      </c>
    </row>
    <row r="48" spans="4:6" x14ac:dyDescent="0.3">
      <c r="D48">
        <v>47</v>
      </c>
      <c r="E48" s="1">
        <f>FV('Retirement calculator'!$C$7/12,12,-'Retirement calculator'!$C$4*((1+'Retirement calculator'!$C$9)^(D48-1)))</f>
        <v>1852318.9692167724</v>
      </c>
      <c r="F48" s="1">
        <f>F47*(1+'Retirement calculator'!$C$7)+E48</f>
        <v>412444704.97771502</v>
      </c>
    </row>
    <row r="49" spans="4:6" x14ac:dyDescent="0.3">
      <c r="D49">
        <v>48</v>
      </c>
      <c r="E49" s="1">
        <f>FV('Retirement calculator'!$C$7/12,12,-'Retirement calculator'!$C$4*((1+'Retirement calculator'!$C$9)^(D49-1)))</f>
        <v>1954196.5125236944</v>
      </c>
      <c r="F49" s="1">
        <f>F48*(1+'Retirement calculator'!$C$7)+E49</f>
        <v>459767819.03778744</v>
      </c>
    </row>
    <row r="50" spans="4:6" x14ac:dyDescent="0.3">
      <c r="D50">
        <v>49</v>
      </c>
      <c r="E50" s="1">
        <f>FV('Retirement calculator'!$C$7/12,12,-'Retirement calculator'!$C$4*((1+'Retirement calculator'!$C$9)^(D50-1)))</f>
        <v>2061677.3207124977</v>
      </c>
      <c r="F50" s="1">
        <f>F49*(1+'Retirement calculator'!$C$7)+E50</f>
        <v>512403956.45265663</v>
      </c>
    </row>
    <row r="51" spans="4:6" x14ac:dyDescent="0.3">
      <c r="D51">
        <v>50</v>
      </c>
      <c r="E51" s="1">
        <f>FV('Retirement calculator'!$C$7/12,12,-'Retirement calculator'!$C$4*((1+'Retirement calculator'!$C$9)^(D51-1)))</f>
        <v>2175069.573351685</v>
      </c>
      <c r="F51" s="1">
        <f>F50*(1+'Retirement calculator'!$C$7)+E51</f>
        <v>570943461.23580062</v>
      </c>
    </row>
    <row r="52" spans="4:6" x14ac:dyDescent="0.3">
      <c r="D52">
        <v>51</v>
      </c>
      <c r="E52" s="1">
        <f>FV('Retirement calculator'!$C$7/12,12,-'Retirement calculator'!$C$4*((1+'Retirement calculator'!$C$9)^(D52-1)))</f>
        <v>2294698.3998860274</v>
      </c>
      <c r="F52" s="1">
        <f>F51*(1+'Retirement calculator'!$C$7)+E52</f>
        <v>636041940.37162471</v>
      </c>
    </row>
    <row r="53" spans="4:6" x14ac:dyDescent="0.3">
      <c r="D53">
        <v>52</v>
      </c>
      <c r="E53" s="1">
        <f>FV('Retirement calculator'!$C$7/12,12,-'Retirement calculator'!$C$4*((1+'Retirement calculator'!$C$9)^(D53-1)))</f>
        <v>2420906.8118797592</v>
      </c>
      <c r="F53" s="1">
        <f>F52*(1+'Retirement calculator'!$C$7)+E53</f>
        <v>708427460.62438321</v>
      </c>
    </row>
    <row r="54" spans="4:6" x14ac:dyDescent="0.3">
      <c r="D54">
        <v>53</v>
      </c>
      <c r="E54" s="1">
        <f>FV('Retirement calculator'!$C$7/12,12,-'Retirement calculator'!$C$4*((1+'Retirement calculator'!$C$9)^(D54-1)))</f>
        <v>2554056.6865331456</v>
      </c>
      <c r="F54" s="1">
        <f>F53*(1+'Retirement calculator'!$C$7)+E54</f>
        <v>788908537.97959852</v>
      </c>
    </row>
    <row r="55" spans="4:6" x14ac:dyDescent="0.3">
      <c r="D55">
        <v>54</v>
      </c>
      <c r="E55" s="1">
        <f>FV('Retirement calculator'!$C$7/12,12,-'Retirement calculator'!$C$4*((1+'Retirement calculator'!$C$9)^(D55-1)))</f>
        <v>2694529.8042924684</v>
      </c>
      <c r="F55" s="1">
        <f>F54*(1+'Retirement calculator'!$C$7)+E55</f>
        <v>878383006.96164691</v>
      </c>
    </row>
    <row r="56" spans="4:6" x14ac:dyDescent="0.3">
      <c r="D56">
        <v>55</v>
      </c>
      <c r="E56" s="1">
        <f>FV('Retirement calculator'!$C$7/12,12,-'Retirement calculator'!$C$4*((1+'Retirement calculator'!$C$9)^(D56-1)))</f>
        <v>2842728.9435285539</v>
      </c>
      <c r="F56" s="1">
        <f>F55*(1+'Retirement calculator'!$C$7)+E56</f>
        <v>977847866.67095673</v>
      </c>
    </row>
    <row r="57" spans="4:6" x14ac:dyDescent="0.3">
      <c r="D57">
        <v>56</v>
      </c>
      <c r="E57" s="1">
        <f>FV('Retirement calculator'!$C$7/12,12,-'Retirement calculator'!$C$4*((1+'Retirement calculator'!$C$9)^(D57-1)))</f>
        <v>2999079.0354226241</v>
      </c>
      <c r="F57" s="1">
        <f>F56*(1+'Retirement calculator'!$C$7)+E57</f>
        <v>1088410211.0401847</v>
      </c>
    </row>
    <row r="58" spans="4:6" x14ac:dyDescent="0.3">
      <c r="D58">
        <v>57</v>
      </c>
      <c r="E58" s="1">
        <f>FV('Retirement calculator'!$C$7/12,12,-'Retirement calculator'!$C$4*((1+'Retirement calculator'!$C$9)^(D58-1)))</f>
        <v>3164028.3823708687</v>
      </c>
      <c r="F58" s="1">
        <f>F57*(1+'Retirement calculator'!$C$7)+E58</f>
        <v>1211299362.636976</v>
      </c>
    </row>
    <row r="59" spans="4:6" x14ac:dyDescent="0.3">
      <c r="D59">
        <v>58</v>
      </c>
      <c r="E59" s="1">
        <f>FV('Retirement calculator'!$C$7/12,12,-'Retirement calculator'!$C$4*((1+'Retirement calculator'!$C$9)^(D59-1)))</f>
        <v>3338049.9434012668</v>
      </c>
      <c r="F59" s="1">
        <f>F58*(1+'Retirement calculator'!$C$7)+E59</f>
        <v>1347880342.4704449</v>
      </c>
    </row>
    <row r="60" spans="4:6" x14ac:dyDescent="0.3">
      <c r="D60">
        <v>59</v>
      </c>
      <c r="E60" s="1">
        <f>FV('Retirement calculator'!$C$7/12,12,-'Retirement calculator'!$C$4*((1+'Retirement calculator'!$C$9)^(D60-1)))</f>
        <v>3521642.6902883369</v>
      </c>
      <c r="F60" s="1">
        <f>F59*(1+'Retirement calculator'!$C$7)+E60</f>
        <v>1499668822.8324823</v>
      </c>
    </row>
    <row r="61" spans="4:6" x14ac:dyDescent="0.3">
      <c r="D61">
        <v>60</v>
      </c>
      <c r="E61" s="1">
        <f>FV('Retirement calculator'!$C$7/12,12,-'Retirement calculator'!$C$4*((1+'Retirement calculator'!$C$9)^(D61-1)))</f>
        <v>3715333.038254194</v>
      </c>
      <c r="F61" s="1">
        <f>F60*(1+'Retirement calculator'!$C$7)+E61</f>
        <v>1668347726.3823099</v>
      </c>
    </row>
    <row r="62" spans="4:6" x14ac:dyDescent="0.3">
      <c r="D62">
        <v>61</v>
      </c>
      <c r="E62" s="1">
        <f>FV('Retirement calculator'!$C$7/12,12,-'Retirement calculator'!$C$4*((1+'Retirement calculator'!$C$9)^(D62-1)))</f>
        <v>3919676.3553581755</v>
      </c>
      <c r="F62" s="1">
        <f>F61*(1+'Retirement calculator'!$C$7)+E62</f>
        <v>1855785652.6397223</v>
      </c>
    </row>
    <row r="63" spans="4:6" x14ac:dyDescent="0.3">
      <c r="D63">
        <v>62</v>
      </c>
      <c r="E63" s="1">
        <f>FV('Retirement calculator'!$C$7/12,12,-'Retirement calculator'!$C$4*((1+'Retirement calculator'!$C$9)^(D63-1)))</f>
        <v>4135258.5549028739</v>
      </c>
      <c r="F63" s="1">
        <f>F62*(1+'Retirement calculator'!$C$7)+E63</f>
        <v>2064057332.9849949</v>
      </c>
    </row>
    <row r="64" spans="4:6" x14ac:dyDescent="0.3">
      <c r="D64">
        <v>63</v>
      </c>
      <c r="E64" s="1">
        <f>FV('Retirement calculator'!$C$7/12,12,-'Retirement calculator'!$C$4*((1+'Retirement calculator'!$C$9)^(D64-1)))</f>
        <v>4362697.7754225321</v>
      </c>
      <c r="F64" s="1">
        <f>F63*(1+'Retirement calculator'!$C$7)+E64</f>
        <v>2295466337.3887672</v>
      </c>
    </row>
    <row r="65" spans="4:6" x14ac:dyDescent="0.3">
      <c r="D65">
        <v>64</v>
      </c>
      <c r="E65" s="1">
        <f>FV('Retirement calculator'!$C$7/12,12,-'Retirement calculator'!$C$4*((1+'Retirement calculator'!$C$9)^(D65-1)))</f>
        <v>4602646.1530707711</v>
      </c>
      <c r="F65" s="1">
        <f>F64*(1+'Retirement calculator'!$C$7)+E65</f>
        <v>2552570280.654603</v>
      </c>
    </row>
    <row r="66" spans="4:6" x14ac:dyDescent="0.3">
      <c r="D66">
        <v>65</v>
      </c>
      <c r="E66" s="1">
        <f>FV('Retirement calculator'!$C$7/12,12,-'Retirement calculator'!$C$4*((1+'Retirement calculator'!$C$9)^(D66-1)))</f>
        <v>4855791.6914896639</v>
      </c>
      <c r="F66" s="1">
        <f>F65*(1+'Retirement calculator'!$C$7)+E66</f>
        <v>2838208803.2180991</v>
      </c>
    </row>
    <row r="67" spans="4:6" x14ac:dyDescent="0.3">
      <c r="D67">
        <v>66</v>
      </c>
      <c r="E67" s="1">
        <f>FV('Retirement calculator'!$C$7/12,12,-'Retirement calculator'!$C$4*((1+'Retirement calculator'!$C$9)^(D67-1)))</f>
        <v>5122860.2345215948</v>
      </c>
      <c r="F67" s="1">
        <f>F66*(1+'Retirement calculator'!$C$7)+E67</f>
        <v>3155534631.8066115</v>
      </c>
    </row>
    <row r="68" spans="4:6" x14ac:dyDescent="0.3">
      <c r="D68">
        <v>67</v>
      </c>
      <c r="E68" s="1">
        <f>FV('Retirement calculator'!$C$7/12,12,-'Retirement calculator'!$C$4*((1+'Retirement calculator'!$C$9)^(D68-1)))</f>
        <v>5404617.5474202828</v>
      </c>
      <c r="F68" s="1">
        <f>F67*(1+'Retirement calculator'!$C$7)+E68</f>
        <v>3508048058.8527598</v>
      </c>
    </row>
    <row r="69" spans="4:6" x14ac:dyDescent="0.3">
      <c r="D69">
        <v>68</v>
      </c>
      <c r="E69" s="1">
        <f>FV('Retirement calculator'!$C$7/12,12,-'Retirement calculator'!$C$4*((1+'Retirement calculator'!$C$9)^(D69-1)))</f>
        <v>5701871.5125283971</v>
      </c>
      <c r="F69" s="1">
        <f>F68*(1+'Retirement calculator'!$C$7)+E69</f>
        <v>3899635216.8390923</v>
      </c>
    </row>
    <row r="70" spans="4:6" x14ac:dyDescent="0.3">
      <c r="D70">
        <v>69</v>
      </c>
      <c r="E70" s="1">
        <f>FV('Retirement calculator'!$C$7/12,12,-'Retirement calculator'!$C$4*((1+'Retirement calculator'!$C$9)^(D70-1)))</f>
        <v>6015474.4457174586</v>
      </c>
      <c r="F70" s="1">
        <f>F69*(1+'Retirement calculator'!$C$7)+E70</f>
        <v>4334610565.1371107</v>
      </c>
    </row>
    <row r="71" spans="4:6" x14ac:dyDescent="0.3">
      <c r="D71">
        <v>70</v>
      </c>
      <c r="E71" s="1">
        <f>FV('Retirement calculator'!$C$7/12,12,-'Retirement calculator'!$C$4*((1+'Retirement calculator'!$C$9)^(D71-1)))</f>
        <v>6346325.5402319189</v>
      </c>
      <c r="F71" s="1">
        <f>F70*(1+'Retirement calculator'!$C$7)+E71</f>
        <v>4817764052.8424253</v>
      </c>
    </row>
    <row r="72" spans="4:6" x14ac:dyDescent="0.3">
      <c r="D72">
        <v>71</v>
      </c>
      <c r="E72" s="1">
        <f>FV('Retirement calculator'!$C$7/12,12,-'Retirement calculator'!$C$4*((1+'Retirement calculator'!$C$9)^(D72-1)))</f>
        <v>6695373.4449446751</v>
      </c>
      <c r="F72" s="1">
        <f>F71*(1+'Retirement calculator'!$C$7)+E72</f>
        <v>5354413472.1000366</v>
      </c>
    </row>
    <row r="73" spans="4:6" x14ac:dyDescent="0.3">
      <c r="D73">
        <v>72</v>
      </c>
      <c r="E73" s="1">
        <f>FV('Retirement calculator'!$C$7/12,12,-'Retirement calculator'!$C$4*((1+'Retirement calculator'!$C$9)^(D73-1)))</f>
        <v>7063618.9844166311</v>
      </c>
      <c r="F73" s="1">
        <f>F72*(1+'Retirement calculator'!$C$7)+E73</f>
        <v>5950462573.0154581</v>
      </c>
    </row>
    <row r="74" spans="4:6" x14ac:dyDescent="0.3">
      <c r="D74">
        <v>73</v>
      </c>
      <c r="E74" s="1">
        <f>FV('Retirement calculator'!$C$7/12,12,-'Retirement calculator'!$C$4*((1+'Retirement calculator'!$C$9)^(D74-1)))</f>
        <v>7452118.028559546</v>
      </c>
      <c r="F74" s="1">
        <f>F73*(1+'Retirement calculator'!$C$7)+E74</f>
        <v>6612465574.0757189</v>
      </c>
    </row>
    <row r="75" spans="4:6" x14ac:dyDescent="0.3">
      <c r="D75">
        <v>74</v>
      </c>
      <c r="E75" s="1">
        <f>FV('Retirement calculator'!$C$7/12,12,-'Retirement calculator'!$C$4*((1+'Retirement calculator'!$C$9)^(D75-1)))</f>
        <v>7861984.5201303195</v>
      </c>
      <c r="F75" s="1">
        <f>F74*(1+'Retirement calculator'!$C$7)+E75</f>
        <v>7347698771.7441788</v>
      </c>
    </row>
    <row r="76" spans="4:6" x14ac:dyDescent="0.3">
      <c r="D76">
        <v>75</v>
      </c>
      <c r="E76" s="1">
        <f>FV('Retirement calculator'!$C$7/12,12,-'Retirement calculator'!$C$4*((1+'Retirement calculator'!$C$9)^(D76-1)))</f>
        <v>8294393.6687374888</v>
      </c>
      <c r="F76" s="1">
        <f>F75*(1+'Retirement calculator'!$C$7)+E76</f>
        <v>8164240030.3047762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Retirement calculator</vt:lpstr>
      <vt:lpstr>Investment Transfer</vt:lpstr>
      <vt:lpstr>RA tax refund</vt:lpstr>
      <vt:lpstr>Calcs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Hendrik HG. Brand</dc:creator>
  <cp:lastModifiedBy>Hendrik HG. Brand</cp:lastModifiedBy>
  <dcterms:created xsi:type="dcterms:W3CDTF">2018-06-11T05:59:46Z</dcterms:created>
  <dcterms:modified xsi:type="dcterms:W3CDTF">2018-07-03T13:07:07Z</dcterms:modified>
</cp:coreProperties>
</file>